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officeDocument/2006/relationships/extended-properties" Target="docProps/app.xml"/><Relationship Id="rId3" Type="http://schemas.openxmlformats.org/package/2006/relationships/metadata/core-properties" Target="docProps/core.xml"/><Relationship Id="rId4" Type="http://schemas.openxmlformats.org/officeDocument/2006/relationships/custom-properties" Target="docProps/custom.xml"/></Relationships>
</file>

<file path=xl/workbook.xml><?xml version="1.0" encoding="utf-8"?>
<workbook xmlns:r="http://schemas.openxmlformats.org/officeDocument/2006/relationships" xmlns="http://schemas.openxmlformats.org/spreadsheetml/2006/main">
  <workbookPr defaultThemeVersion="153222"/>
  <bookViews>
    <workbookView xWindow="360" yWindow="270" windowWidth="14940" windowHeight="9150" activeTab="0"/>
  </bookViews>
  <sheets>
    <sheet name="มู่ลี่ไม้  ล่าสุด" sheetId="1" r:id="rId1"/>
  </sheets>
  <definedNames/>
  <calcPr/>
</workbook>
</file>

<file path=xl/sharedStrings.xml><?xml version="1.0" encoding="utf-8"?>
<sst xmlns="http://schemas.openxmlformats.org/spreadsheetml/2006/main" uniqueCount="1595" count="1595">
  <si>
    <t>อะไหล่</t>
  </si>
  <si>
    <t>สี</t>
  </si>
  <si>
    <t>จำนวน</t>
  </si>
  <si>
    <t>หน่วย</t>
  </si>
  <si>
    <t>จำนวน / หน่วย</t>
  </si>
  <si>
    <t>จำนวนรวม</t>
  </si>
  <si>
    <t>ราง (รุ่นไม่มีใบสอดบน)</t>
  </si>
  <si>
    <t>ขาว</t>
  </si>
  <si>
    <t>ห่อ</t>
  </si>
  <si>
    <t>ดำ</t>
  </si>
  <si>
    <t>น้ำตาล - 1</t>
  </si>
  <si>
    <t>น้ำตาล - 2</t>
  </si>
  <si>
    <t>น้ำตาล - 3</t>
  </si>
  <si>
    <t>หัว-ท้าย</t>
  </si>
  <si>
    <t>กล่อง</t>
  </si>
  <si>
    <t>แกน 6 เหลี่ยม (เบอร์ 5.5)</t>
  </si>
  <si>
    <t>โซ่</t>
  </si>
  <si>
    <t>ม้วน</t>
  </si>
  <si>
    <t xml:space="preserve"> </t>
  </si>
  <si>
    <t>SUNNY</t>
  </si>
  <si>
    <t>EVA</t>
  </si>
  <si>
    <t>BOOK - 1</t>
  </si>
  <si>
    <t>black out 100%</t>
  </si>
  <si>
    <t>zb382</t>
  </si>
  <si>
    <t>JY38-2</t>
  </si>
  <si>
    <t>light grey</t>
  </si>
  <si>
    <t>zb383</t>
  </si>
  <si>
    <t>jy38-3</t>
  </si>
  <si>
    <t>light cream</t>
  </si>
  <si>
    <t>zb384</t>
  </si>
  <si>
    <t>jy38-4</t>
  </si>
  <si>
    <t>dark grey</t>
  </si>
  <si>
    <t>zb381</t>
  </si>
  <si>
    <t>jy38-1</t>
  </si>
  <si>
    <t>mid grey</t>
  </si>
  <si>
    <t>BOOK - 2</t>
  </si>
  <si>
    <t>zb362</t>
  </si>
  <si>
    <t>jy36-2</t>
  </si>
  <si>
    <t>pine grain light brown</t>
  </si>
  <si>
    <t>zb363</t>
  </si>
  <si>
    <t>jy36-3</t>
  </si>
  <si>
    <t>pine grain mid grey</t>
  </si>
  <si>
    <t>zb364</t>
  </si>
  <si>
    <t>jy36-4</t>
  </si>
  <si>
    <t>pine grain light blue</t>
  </si>
  <si>
    <t>zb361</t>
  </si>
  <si>
    <t>jy36-1</t>
  </si>
  <si>
    <t>pine grain light grey</t>
  </si>
  <si>
    <t>BOOK - 3</t>
  </si>
  <si>
    <t>zb388</t>
  </si>
  <si>
    <t>jy38-8</t>
  </si>
  <si>
    <t>nostagic wood grain super light white</t>
  </si>
  <si>
    <t>zb389</t>
  </si>
  <si>
    <t>jy38-9</t>
  </si>
  <si>
    <t>nostagic wood grain super light brown</t>
  </si>
  <si>
    <t>zb3810</t>
  </si>
  <si>
    <t>jy38-10</t>
  </si>
  <si>
    <t>nostagic wood grain grey</t>
  </si>
  <si>
    <t>zb387</t>
  </si>
  <si>
    <t>jy38-7</t>
  </si>
  <si>
    <t>nostagic wood grain light grey</t>
  </si>
  <si>
    <t>BOOK - 4</t>
  </si>
  <si>
    <t>zb2356</t>
  </si>
  <si>
    <t>jy235-6</t>
  </si>
  <si>
    <t>white stripped cream</t>
  </si>
  <si>
    <t>zb2357</t>
  </si>
  <si>
    <t>jy235-7</t>
  </si>
  <si>
    <t>white stripped ligth grey</t>
  </si>
  <si>
    <t>zb2358</t>
  </si>
  <si>
    <t>jy235-8</t>
  </si>
  <si>
    <t>white stripped blue</t>
  </si>
  <si>
    <t>zb2355</t>
  </si>
  <si>
    <t>jy235-5</t>
  </si>
  <si>
    <t>white stripped dark grey</t>
  </si>
  <si>
    <t>BOOK - 5</t>
  </si>
  <si>
    <t>zb372</t>
  </si>
  <si>
    <t>JY37-2</t>
  </si>
  <si>
    <t>tron mid grey</t>
  </si>
  <si>
    <t>zb373</t>
  </si>
  <si>
    <t>JY37-3</t>
  </si>
  <si>
    <t>tron grey</t>
  </si>
  <si>
    <t>zb374</t>
  </si>
  <si>
    <t>JY37-4</t>
  </si>
  <si>
    <t>tron blue</t>
  </si>
  <si>
    <t>zb371</t>
  </si>
  <si>
    <t>JY37-1</t>
  </si>
  <si>
    <t>tron light grey</t>
  </si>
  <si>
    <t>BOOK - 6</t>
  </si>
  <si>
    <t>zb10085</t>
  </si>
  <si>
    <t>SJ1008-5</t>
  </si>
  <si>
    <t>stripped walnut</t>
  </si>
  <si>
    <t>zb10086</t>
  </si>
  <si>
    <t>SJ1008-6</t>
  </si>
  <si>
    <t>stripped midnight</t>
  </si>
  <si>
    <t>zb10082</t>
  </si>
  <si>
    <t>SJ1008-2</t>
  </si>
  <si>
    <t>white</t>
  </si>
  <si>
    <r>
      <rPr>
        <sz val="11"/>
        <color rgb="FF000000"/>
        <rFont val="Calibri, sans-serif"/>
      </rPr>
      <t>zb10</t>
    </r>
    <r>
      <rPr>
        <sz val="11"/>
        <color rgb="FFFF0000"/>
        <rFont val="Calibri, sans-serif"/>
      </rPr>
      <t>1</t>
    </r>
    <r>
      <rPr>
        <sz val="11"/>
        <color rgb="FF000000"/>
        <rFont val="Calibri, sans-serif"/>
      </rPr>
      <t>83</t>
    </r>
  </si>
  <si>
    <t>SJ1018-3</t>
  </si>
  <si>
    <t>sky black</t>
  </si>
  <si>
    <r>
      <rPr>
        <sz val="11"/>
        <color rgb="FF000000"/>
        <rFont val="Calibri, sans-serif"/>
      </rPr>
      <t>zb10</t>
    </r>
    <r>
      <rPr>
        <sz val="11"/>
        <color rgb="FFFF0000"/>
        <rFont val="Calibri, sans-serif"/>
      </rPr>
      <t>1</t>
    </r>
    <r>
      <rPr>
        <sz val="11"/>
        <color rgb="FF000000"/>
        <rFont val="Calibri, sans-serif"/>
      </rPr>
      <t>87</t>
    </r>
  </si>
  <si>
    <t>SJ1018-7</t>
  </si>
  <si>
    <t>light brown</t>
  </si>
  <si>
    <t>Product Code</t>
  </si>
  <si>
    <t>BARCODE</t>
  </si>
  <si>
    <t>Name</t>
  </si>
  <si>
    <t>Color Code</t>
  </si>
  <si>
    <t>Color Name</t>
  </si>
  <si>
    <t>Length</t>
  </si>
  <si>
    <t>Length Unit</t>
  </si>
  <si>
    <t>qty / unit</t>
  </si>
  <si>
    <t>main-unit</t>
  </si>
  <si>
    <t>sub-unit</t>
  </si>
  <si>
    <t>qty</t>
  </si>
  <si>
    <t>total qty</t>
  </si>
  <si>
    <t>SB 35-38-S4.0</t>
  </si>
  <si>
    <t>Wooden Blinds 35MM</t>
  </si>
  <si>
    <t>SB 35-38</t>
  </si>
  <si>
    <t>Antique</t>
  </si>
  <si>
    <t>FT</t>
  </si>
  <si>
    <t>BOX</t>
  </si>
  <si>
    <t>PCS</t>
  </si>
  <si>
    <t>SB 35-38-S4.5</t>
  </si>
  <si>
    <t>SB 35-38-S5.0</t>
  </si>
  <si>
    <t>SB 35-38-S5.5</t>
  </si>
  <si>
    <t>SB 35-38-S6.0</t>
  </si>
  <si>
    <t>SB 35-38-S6.5</t>
  </si>
  <si>
    <t>SB 35-38-S7.0</t>
  </si>
  <si>
    <t>SB 35-38-S8.0</t>
  </si>
  <si>
    <t>VL 50-38-S4.0</t>
  </si>
  <si>
    <t>Valance (50MM) - 01</t>
  </si>
  <si>
    <t>VL 50-38-S4.5</t>
  </si>
  <si>
    <t>VL 50-38-S5.0</t>
  </si>
  <si>
    <t>VL 50-38-S5.5</t>
  </si>
  <si>
    <t>VL 50-38-S6.0</t>
  </si>
  <si>
    <t>VL 50-38-S6.5</t>
  </si>
  <si>
    <t>VL 50-38-S7.0</t>
  </si>
  <si>
    <t>VL 50-38-S8.0</t>
  </si>
  <si>
    <t>BR 50-38-S4.0</t>
  </si>
  <si>
    <t>Bottom Rail (50MM) - 01</t>
  </si>
  <si>
    <t>BR 50-38-S4.5</t>
  </si>
  <si>
    <t>BR 50-38-S5.0</t>
  </si>
  <si>
    <t>BR 50-38-S5.5</t>
  </si>
  <si>
    <t>BR 50-38-S6.0</t>
  </si>
  <si>
    <t>BR 50-38-S6.5</t>
  </si>
  <si>
    <t>BR 50-38-S7.0</t>
  </si>
  <si>
    <t>BR 50-38-S8.0</t>
  </si>
  <si>
    <t>SB 35-36-S4.0</t>
  </si>
  <si>
    <t>SB 35-36</t>
  </si>
  <si>
    <t>Walnut</t>
  </si>
  <si>
    <t>SB 35-36-S4.5</t>
  </si>
  <si>
    <t>SB 35-36-S5.0</t>
  </si>
  <si>
    <t>SB 35-36-S5.5</t>
  </si>
  <si>
    <t>SB 35-36-S6.0</t>
  </si>
  <si>
    <t>SB 35-36-S6.5</t>
  </si>
  <si>
    <t>SB 35-36-S7.0</t>
  </si>
  <si>
    <t>SB 35-36-S8.0</t>
  </si>
  <si>
    <t>VL 50-36-S4.0</t>
  </si>
  <si>
    <t>VL 50-36-S4.5</t>
  </si>
  <si>
    <t>VL 50-36-S5.0</t>
  </si>
  <si>
    <t>VL 50-36-S5.5</t>
  </si>
  <si>
    <t>VL 50-36-S6.0</t>
  </si>
  <si>
    <t>VL 50-36-S6.5</t>
  </si>
  <si>
    <t>VL 50-36-S7.0</t>
  </si>
  <si>
    <t>VL 50-36-S8.0</t>
  </si>
  <si>
    <t>BR 50-36-S4.0</t>
  </si>
  <si>
    <t>BR 50-36-S4.5</t>
  </si>
  <si>
    <t>BR 50-36-S5.0</t>
  </si>
  <si>
    <t>BR 50-36-S5.5</t>
  </si>
  <si>
    <t>BR 50-36-S6.0</t>
  </si>
  <si>
    <t>BR 50-36-S6.5</t>
  </si>
  <si>
    <t>BR 50-36-S7.0</t>
  </si>
  <si>
    <t>BR 50-36-S8.0</t>
  </si>
  <si>
    <t>No.</t>
  </si>
  <si>
    <t>DS L CODE</t>
  </si>
  <si>
    <t>SUNNY_CODE</t>
  </si>
  <si>
    <t>SUNNY NAME</t>
  </si>
  <si>
    <t>SLAT DIMENSION</t>
  </si>
  <si>
    <t>DSL21005</t>
  </si>
  <si>
    <t>lbs25-</t>
  </si>
  <si>
    <t>lbs25-698</t>
  </si>
  <si>
    <t>Silver Grey</t>
  </si>
  <si>
    <t>25*0.21mm</t>
  </si>
  <si>
    <t>DSL21006</t>
  </si>
  <si>
    <t>lbs25-699</t>
  </si>
  <si>
    <t>mid light grey</t>
  </si>
  <si>
    <t>DSL21007</t>
  </si>
  <si>
    <t>lbs25-700</t>
  </si>
  <si>
    <t>Slate Grey</t>
  </si>
  <si>
    <t>DSL21008</t>
  </si>
  <si>
    <t>lbs25-701</t>
  </si>
  <si>
    <t>Aashly Brown</t>
  </si>
  <si>
    <t>DSL21009</t>
  </si>
  <si>
    <t>lbs25-702</t>
  </si>
  <si>
    <t>Chacoal</t>
  </si>
  <si>
    <t>DSL21010</t>
  </si>
  <si>
    <t>lbs25-703</t>
  </si>
  <si>
    <t>Chacoal grey</t>
  </si>
  <si>
    <t>DSL21011</t>
  </si>
  <si>
    <t>lbs25-704</t>
  </si>
  <si>
    <t>Warm Beige</t>
  </si>
  <si>
    <t>DSL21012</t>
  </si>
  <si>
    <t>lbs25-705</t>
  </si>
  <si>
    <t>Vivid Brown</t>
  </si>
  <si>
    <t>DSL21013</t>
  </si>
  <si>
    <t>lbs25-706</t>
  </si>
  <si>
    <t>Dreamy Green</t>
  </si>
  <si>
    <t>DSL9011</t>
  </si>
  <si>
    <t>lbs25-4933</t>
  </si>
  <si>
    <t>Milky Creamy</t>
  </si>
  <si>
    <t>DSL9012</t>
  </si>
  <si>
    <t>lbs25-4934</t>
  </si>
  <si>
    <t>Dreamy White</t>
  </si>
  <si>
    <t>DSL9016</t>
  </si>
  <si>
    <t>lbs25-4938</t>
  </si>
  <si>
    <t>Milky Chocolate Creamy</t>
  </si>
  <si>
    <t>DSL9017</t>
  </si>
  <si>
    <t>lbs25-4939</t>
  </si>
  <si>
    <t>Vogue Grey</t>
  </si>
  <si>
    <t>DSL9019</t>
  </si>
  <si>
    <t>lbs25-4941</t>
  </si>
  <si>
    <t>Sunny Grey</t>
  </si>
  <si>
    <t>DSL9020</t>
  </si>
  <si>
    <t>lbs25-4942</t>
  </si>
  <si>
    <t>Sunflower Grey</t>
  </si>
  <si>
    <t>DSL9022</t>
  </si>
  <si>
    <t>lbs25-4944</t>
  </si>
  <si>
    <t>Richie Rich</t>
  </si>
  <si>
    <t>DSL9006</t>
  </si>
  <si>
    <t>lbs25-4928</t>
  </si>
  <si>
    <t>Citrus Zest</t>
  </si>
  <si>
    <t>DSL18005</t>
  </si>
  <si>
    <t>lbs25-8833</t>
  </si>
  <si>
    <t>Almond Milk</t>
  </si>
  <si>
    <t>DSL18010</t>
  </si>
  <si>
    <t>lbs25-8838</t>
  </si>
  <si>
    <t>Platinum Silk</t>
  </si>
  <si>
    <t>DSL18011</t>
  </si>
  <si>
    <t>lbs25-8839</t>
  </si>
  <si>
    <t>Mist Grsphite</t>
  </si>
  <si>
    <t>DSL18012</t>
  </si>
  <si>
    <t>lbs25-8840</t>
  </si>
  <si>
    <t>Cloud Chrome</t>
  </si>
  <si>
    <t>DSL18015</t>
  </si>
  <si>
    <t>lbs25-8843</t>
  </si>
  <si>
    <t>Pale Bronze</t>
  </si>
  <si>
    <t>DSL18016</t>
  </si>
  <si>
    <t>lbs25-8844</t>
  </si>
  <si>
    <t>Dark Bronze</t>
  </si>
  <si>
    <t>DSL18019</t>
  </si>
  <si>
    <t>lbs25-8847</t>
  </si>
  <si>
    <t>Gunmetal Shadow</t>
  </si>
  <si>
    <t>DSL18022</t>
  </si>
  <si>
    <t>lbs25-8851</t>
  </si>
  <si>
    <t>Rich Espresso</t>
  </si>
  <si>
    <t>DSL18023</t>
  </si>
  <si>
    <t>lbs25-8852</t>
  </si>
  <si>
    <t>Phantom Night</t>
  </si>
  <si>
    <t>DSL18020</t>
  </si>
  <si>
    <t>lbs25-8849</t>
  </si>
  <si>
    <t>Smoked Bronze</t>
  </si>
  <si>
    <t>DSL39006</t>
  </si>
  <si>
    <t>lbs35-</t>
  </si>
  <si>
    <t>lbs35-4928</t>
  </si>
  <si>
    <t>Cotton Bloom</t>
  </si>
  <si>
    <t>35*0.21mm</t>
  </si>
  <si>
    <t>DSL39007</t>
  </si>
  <si>
    <t>lbs35-4929</t>
  </si>
  <si>
    <t>Pebble Beach</t>
  </si>
  <si>
    <t>DSL39008</t>
  </si>
  <si>
    <t>lbs35-4930</t>
  </si>
  <si>
    <t>Urban Greige</t>
  </si>
  <si>
    <t>DSL18003</t>
  </si>
  <si>
    <t>lbs35-8831</t>
  </si>
  <si>
    <t>Winter Dawn</t>
  </si>
  <si>
    <t>DSL18014</t>
  </si>
  <si>
    <t>lbs35-8842</t>
  </si>
  <si>
    <t>Ivory Alloy</t>
  </si>
  <si>
    <t>DSL53006</t>
  </si>
  <si>
    <t>lbs50-</t>
  </si>
  <si>
    <t>lbs50-5806</t>
  </si>
  <si>
    <t>Glacial White</t>
  </si>
  <si>
    <t>50*0.21mm</t>
  </si>
  <si>
    <t>DSL59915</t>
  </si>
  <si>
    <t>lbs50-4949</t>
  </si>
  <si>
    <t>Soft Whisper</t>
  </si>
  <si>
    <t>DSL59916</t>
  </si>
  <si>
    <t>lbs50-4950</t>
  </si>
  <si>
    <t>Warm Linen</t>
  </si>
  <si>
    <t>DSL55004</t>
  </si>
  <si>
    <t>lbs50-7830</t>
  </si>
  <si>
    <t>Cloud Grey Blue</t>
  </si>
  <si>
    <t>DSL55005</t>
  </si>
  <si>
    <t>lbs50-7831</t>
  </si>
  <si>
    <t>Castle Black</t>
  </si>
  <si>
    <t>DSL53036</t>
  </si>
  <si>
    <t>lbs50-7832</t>
  </si>
  <si>
    <t>Mystic Red</t>
  </si>
  <si>
    <t>DSL52002</t>
  </si>
  <si>
    <t>lbs50-2609</t>
  </si>
  <si>
    <t>Amercain Oak</t>
  </si>
  <si>
    <t>DSL52003</t>
  </si>
  <si>
    <t>lbs50-2610</t>
  </si>
  <si>
    <t>Amercain Ash</t>
  </si>
  <si>
    <t>DSL52001</t>
  </si>
  <si>
    <t>lbs50-2608</t>
  </si>
  <si>
    <t>Chacoal Ash</t>
  </si>
  <si>
    <t>DSL52007</t>
  </si>
  <si>
    <t>lbs50-2614</t>
  </si>
  <si>
    <t>Swiz Pine</t>
  </si>
  <si>
    <t>DSL52008</t>
  </si>
  <si>
    <t>lbs50-2615</t>
  </si>
  <si>
    <t>South Sqiz Pine</t>
  </si>
  <si>
    <t>DSL52005</t>
  </si>
  <si>
    <t>lbs50-2612</t>
  </si>
  <si>
    <t>Nostagic Ash</t>
  </si>
  <si>
    <t xml:space="preserve">              </t>
  </si>
  <si>
    <t>285+</t>
  </si>
  <si>
    <t>เช็คล่าสุด 21/11/65</t>
  </si>
  <si>
    <t>ของเข้าล่าสุด  14/10/2022</t>
  </si>
  <si>
    <t>25MM</t>
  </si>
  <si>
    <t>SLAT
 (PCS/BOX)</t>
  </si>
  <si>
    <t>จำนวน
 กล่อง</t>
  </si>
  <si>
    <t>ใบ 5ft</t>
  </si>
  <si>
    <t>ใบ 6ft</t>
  </si>
  <si>
    <t>ใบ 7ft</t>
  </si>
  <si>
    <t>ใบ 8ft</t>
  </si>
  <si>
    <t>รางล่าง 20/กล่อง</t>
  </si>
  <si>
    <t>Antique(15)</t>
  </si>
  <si>
    <t>Walnut(08)+(12)</t>
  </si>
  <si>
    <t>White(01)</t>
  </si>
  <si>
    <t>Maple(06)</t>
  </si>
  <si>
    <t>Walnut Oak(10)</t>
  </si>
  <si>
    <t>35MM</t>
  </si>
  <si>
    <t>ใบ 4ft</t>
  </si>
  <si>
    <t>รางล่าง</t>
  </si>
  <si>
    <t>6F</t>
  </si>
  <si>
    <t>8F</t>
  </si>
  <si>
    <t>บังราง/กล่อง</t>
  </si>
  <si>
    <t>Walnut(08) กล่องละ 200</t>
  </si>
  <si>
    <t>SB 35-34</t>
  </si>
  <si>
    <t>White กล่องละ 200</t>
  </si>
  <si>
    <t>SB 35-32</t>
  </si>
  <si>
    <t>Maple กล่องละ 200</t>
  </si>
  <si>
    <t>SB 35-30</t>
  </si>
  <si>
    <t>ของมา 15/3/2025</t>
  </si>
  <si>
    <t xml:space="preserve">Walnut(08) maple </t>
  </si>
  <si>
    <t>SB 35-33</t>
  </si>
  <si>
    <t>Natural (03)</t>
  </si>
  <si>
    <t>SB 35-39</t>
  </si>
  <si>
    <t xml:space="preserve">Golden Oak </t>
  </si>
  <si>
    <t>Golden Oak  กล่อง 200</t>
  </si>
  <si>
    <t>30/กล่อง</t>
  </si>
  <si>
    <t>50MM</t>
  </si>
  <si>
    <t>รางล่าง กล่อง</t>
  </si>
  <si>
    <t xml:space="preserve">บังราง 6F </t>
  </si>
  <si>
    <t>บังราง 8F</t>
  </si>
  <si>
    <t>SA 15</t>
  </si>
  <si>
    <t>Antique (15)</t>
  </si>
  <si>
    <t>SA 08</t>
  </si>
  <si>
    <t>Walnut (08)+(12)</t>
  </si>
  <si>
    <t>SA 01</t>
  </si>
  <si>
    <t>SA 04</t>
  </si>
  <si>
    <t>Golden Oak (04)</t>
  </si>
  <si>
    <t>ของเข้า 19/2/2025</t>
  </si>
  <si>
    <t>SA 09</t>
  </si>
  <si>
    <t>Redwood(09)</t>
  </si>
  <si>
    <t>SA 03</t>
  </si>
  <si>
    <t>Walnut//maple มีลาย</t>
  </si>
  <si>
    <t>SA 59</t>
  </si>
  <si>
    <t>Black</t>
  </si>
  <si>
    <t>SA 53</t>
  </si>
  <si>
    <t>Dark Grey</t>
  </si>
  <si>
    <t>SA 63</t>
  </si>
  <si>
    <t>Maple</t>
  </si>
  <si>
    <t>SA 60</t>
  </si>
  <si>
    <t>SA 60 LIGHT GREY</t>
  </si>
  <si>
    <t>SA 61</t>
  </si>
  <si>
    <t>SA 61 BEIGE</t>
  </si>
  <si>
    <t>SA 62</t>
  </si>
  <si>
    <t>SA 62 KOD</t>
  </si>
  <si>
    <t>SA 64</t>
  </si>
  <si>
    <t>WALNUT OAK</t>
  </si>
  <si>
    <t>DARK GREY</t>
  </si>
  <si>
    <t>ตู้ 13</t>
  </si>
  <si>
    <t>35MM F-WOOD</t>
  </si>
  <si>
    <t>รางบน</t>
  </si>
  <si>
    <t>รางล่าง 6F</t>
  </si>
  <si>
    <t>รางล่าง 8F</t>
  </si>
  <si>
    <t>VALANCEบังราง
6F</t>
  </si>
  <si>
    <t>VALANCEบังราง
8F</t>
  </si>
  <si>
    <t>FW 358</t>
  </si>
  <si>
    <t>Antique (Dark oak)</t>
  </si>
  <si>
    <t>FW 356</t>
  </si>
  <si>
    <t>American Walnut</t>
  </si>
  <si>
    <t>.</t>
  </si>
  <si>
    <t>FW 353</t>
  </si>
  <si>
    <t>Steel Grey</t>
  </si>
  <si>
    <t>FW 351</t>
  </si>
  <si>
    <t>Texture White ขาวลาย</t>
  </si>
  <si>
    <t>FW 359</t>
  </si>
  <si>
    <t>FW 361</t>
  </si>
  <si>
    <t>Midnight Snow</t>
  </si>
  <si>
    <t>FW 362</t>
  </si>
  <si>
    <t>Cavier Royale</t>
  </si>
  <si>
    <t>FW 363</t>
  </si>
  <si>
    <t>Golden Hazelnut</t>
  </si>
  <si>
    <t>FW 364</t>
  </si>
  <si>
    <t>Sunkiss Oak</t>
  </si>
  <si>
    <t>FW 365</t>
  </si>
  <si>
    <t>Vanilla Sun</t>
  </si>
  <si>
    <t>FW 366</t>
  </si>
  <si>
    <t>Pure White ขาวเรียบ</t>
  </si>
  <si>
    <t>50MM F-WOOD</t>
  </si>
  <si>
    <t>ใบ 5 ft</t>
  </si>
  <si>
    <t>รางล่าง 6F/กล่อง</t>
  </si>
  <si>
    <t>รางล่าง 8F/กล่อง</t>
  </si>
  <si>
    <t>FW 508</t>
  </si>
  <si>
    <t>Antique(026)</t>
  </si>
  <si>
    <t>FW 506</t>
  </si>
  <si>
    <t>American Walnut(023)</t>
  </si>
  <si>
    <t>FW 503</t>
  </si>
  <si>
    <t>Steel Grey(003)</t>
  </si>
  <si>
    <t>FW 501</t>
  </si>
  <si>
    <t xml:space="preserve">Texture White(002) </t>
  </si>
  <si>
    <t>FW 509</t>
  </si>
  <si>
    <t>FW 510</t>
  </si>
  <si>
    <t>RedWood</t>
  </si>
  <si>
    <t>FW 502</t>
  </si>
  <si>
    <t>SPANISH WHITE(009)</t>
  </si>
  <si>
    <t>FW 505</t>
  </si>
  <si>
    <t>MOROCCO(016)</t>
  </si>
  <si>
    <t>FW 514</t>
  </si>
  <si>
    <t>Golden Oak (FW514)</t>
  </si>
  <si>
    <t>FW 511</t>
  </si>
  <si>
    <t>ASH 5054 (FW511)</t>
  </si>
  <si>
    <t>FW 512</t>
  </si>
  <si>
    <t>EBONY 5056 (FW512)</t>
  </si>
  <si>
    <t>FW 513</t>
  </si>
  <si>
    <t>ESPRESS (FW513)</t>
  </si>
  <si>
    <t>FW 515</t>
  </si>
  <si>
    <t>Satin Cream สีขาวครีม</t>
  </si>
  <si>
    <t>FW 516</t>
  </si>
  <si>
    <t>Silken White ขาวเรียบ</t>
  </si>
  <si>
    <t>FW 561</t>
  </si>
  <si>
    <t>FW 562</t>
  </si>
  <si>
    <t>FW 563</t>
  </si>
  <si>
    <t>FW 564</t>
  </si>
  <si>
    <t>FW 565</t>
  </si>
  <si>
    <t>FW 566</t>
  </si>
  <si>
    <t>Solar Claw</t>
  </si>
  <si>
    <t>FW 567</t>
  </si>
  <si>
    <t>Ember Stripe</t>
  </si>
  <si>
    <t>FW 568</t>
  </si>
  <si>
    <t>Ora Nova</t>
  </si>
  <si>
    <t>FW 569</t>
  </si>
  <si>
    <t>Lunar Mist</t>
  </si>
  <si>
    <t>FW 570</t>
  </si>
  <si>
    <t>Honeywood</t>
  </si>
  <si>
    <t>ของเข้า 3/5/2023</t>
  </si>
  <si>
    <t>ของเข้้า 28/11/2023</t>
  </si>
  <si>
    <t>ของเข้้า 3/2/2024</t>
  </si>
  <si>
    <t>ของเข้า20/2/2024</t>
  </si>
  <si>
    <t>เช็ค 3/1/2024</t>
  </si>
  <si>
    <t>เช็ค 11/7/2024</t>
  </si>
  <si>
    <t>เช็ค 29/11/2024 +30/11</t>
  </si>
  <si>
    <t>มู่ลี่ไม้เข้า 18/12/2024</t>
  </si>
  <si>
    <t>มู่ลี่ไม้เข้า 3/1/2025</t>
  </si>
  <si>
    <t>มู่ลี่ไม้เข้า 29/3/2025</t>
  </si>
  <si>
    <t>10.0 CM</t>
  </si>
  <si>
    <t>8.5 CM</t>
  </si>
  <si>
    <t>930
ขาวด้าน
MATTE</t>
  </si>
  <si>
    <t>930A
ขาวเงา
GLOSS</t>
  </si>
  <si>
    <t>961
สีโอ๊ค
OAK</t>
  </si>
  <si>
    <t>962
สีน้ำตาล
MOHA</t>
  </si>
  <si>
    <t>963
สีดำ
BLACK</t>
  </si>
  <si>
    <t>931A</t>
  </si>
  <si>
    <t>932A</t>
  </si>
  <si>
    <t>สี  URO 01 (930)</t>
  </si>
  <si>
    <t>สี URO 15 (932)</t>
  </si>
  <si>
    <t>สี URO 09 (931)</t>
  </si>
  <si>
    <t>สี URO สีเทา (017)</t>
  </si>
  <si>
    <t>Parts</t>
  </si>
  <si>
    <t>QTY/CTN</t>
  </si>
  <si>
    <t>Intermediate Panel---ใบฉาก</t>
  </si>
  <si>
    <t>เช็ค 20/12/67</t>
  </si>
  <si>
    <t>Half Panel---ใบเล็ก</t>
  </si>
  <si>
    <t>Leader Edge Panel ---เสา</t>
  </si>
  <si>
    <t>End strip---ตัวยู</t>
  </si>
  <si>
    <t>Fix Strip---ใบท้าย</t>
  </si>
  <si>
    <t>Soft Hinge---ไส้ฉาก</t>
  </si>
  <si>
    <t>Side Strip For Glass Panel---เสาข้างกระจก</t>
  </si>
  <si>
    <t>เช็ค 20/4/66</t>
  </si>
  <si>
    <t>สี URO สีเทา</t>
  </si>
  <si>
    <t>ตู้ 8</t>
  </si>
  <si>
    <t>Fix Strip For Glass----ที่ยึดกระจกใบใหญ่</t>
  </si>
  <si>
    <t>240-4</t>
  </si>
  <si>
    <t>Main Panel Cover-----ปิดบน-ล่างใบใหญ่</t>
  </si>
  <si>
    <t>280-8</t>
  </si>
  <si>
    <t>Leader Edge Panel Cover---ปิดบน-ล่างเสา</t>
  </si>
  <si>
    <t>Half Panel Cover---ปิดใบเล็ก</t>
  </si>
  <si>
    <t>Fastener----ตัวผู้ยึดผนัง (กิ๊ฟ)  ตู้ 7 ดำ</t>
  </si>
  <si>
    <t>FIX END BASE----ตัวผู้ยึดผนัง (กิ๊ฟใส)</t>
  </si>
  <si>
    <t>FIX END BASE----ตัวผู้ยึดผนัง (กิ๊ฟแดง)</t>
  </si>
  <si>
    <t>Roller----ลูกล้อ</t>
  </si>
  <si>
    <t>Handle - S type --มือจับฉาก</t>
  </si>
  <si>
    <t>Handle - มือจับฉากเหล็กสีดำ</t>
  </si>
  <si>
    <t>Screw for hinge--น็อตยึดไส้ (สั้น) สีฟ้า ตู้ 8</t>
  </si>
  <si>
    <t>Screw for roller---น็อตลูกล้อ (ยาว) ตู้ 8</t>
  </si>
  <si>
    <t>กระจกใส-ขนาด 240</t>
  </si>
  <si>
    <t>60/มัด</t>
  </si>
  <si>
    <t>กระจกฝ้า-ขนาด 186</t>
  </si>
  <si>
    <t>กระจกฝ้า-ขนาด 240</t>
  </si>
  <si>
    <t xml:space="preserve">กระจกไผ่ </t>
  </si>
  <si>
    <t xml:space="preserve">กระจกเมเปิ้ล </t>
  </si>
  <si>
    <t>พลาสติกซีล กระจก / มี 16 ม้วน/กล่อง</t>
  </si>
  <si>
    <t>เช็ค 7/8/67 + ของเข้า 3/8/67</t>
  </si>
  <si>
    <t>ของเข้า 20/8/2024</t>
  </si>
  <si>
    <t>เช็ค 3/10/67</t>
  </si>
  <si>
    <t>ของเข้า 3/12/2024</t>
  </si>
  <si>
    <t>บับเบิ้ล กันกระแทก/ม้วน</t>
  </si>
  <si>
    <t>ใหญ่</t>
  </si>
  <si>
    <t>กลาง</t>
  </si>
  <si>
    <t>เล็ก</t>
  </si>
  <si>
    <t>เช็คล่าสุด 5/2/2025</t>
  </si>
  <si>
    <t>ของมา 10/4/68</t>
  </si>
  <si>
    <t>ของเข้า 11/2/2025</t>
  </si>
  <si>
    <t>SPC FLOORING (แผ่นพื้น)</t>
  </si>
  <si>
    <t>RED Reducer</t>
  </si>
  <si>
    <t>รหัส</t>
  </si>
  <si>
    <t>ขนาด</t>
  </si>
  <si>
    <t>10 แผ่น/กล่อง</t>
  </si>
  <si>
    <t>จำนวน/กล่อง</t>
  </si>
  <si>
    <t>25 อัน/กล่อง</t>
  </si>
  <si>
    <t>CZ-70691</t>
  </si>
  <si>
    <t>1220*183*4mm</t>
  </si>
  <si>
    <t>2400*45*8mm</t>
  </si>
  <si>
    <t>CZ-70692</t>
  </si>
  <si>
    <t>CZ-70693</t>
  </si>
  <si>
    <t>CZ-70694</t>
  </si>
  <si>
    <t>CZ-70695</t>
  </si>
  <si>
    <t>CZ-70696</t>
  </si>
  <si>
    <t>SZ-6301</t>
  </si>
  <si>
    <t>610*305*4mm</t>
  </si>
  <si>
    <t>SZ-6302</t>
  </si>
  <si>
    <t>SZ-6303</t>
  </si>
  <si>
    <t>RZ-8801</t>
  </si>
  <si>
    <t>640*128*4mm</t>
  </si>
  <si>
    <t>RZ-8802</t>
  </si>
  <si>
    <t>RZ-8803</t>
  </si>
  <si>
    <t>T-Moulding (ทีจ๊อยส์)</t>
  </si>
  <si>
    <t>L-Line (ครอบฉาก)</t>
  </si>
  <si>
    <t>50 อัน/กล่อง</t>
  </si>
  <si>
    <t>2400*25*6mm</t>
  </si>
  <si>
    <t>2400*30*30mm</t>
  </si>
  <si>
    <t>End Cap(Edging)</t>
  </si>
  <si>
    <t>2400*35*8mm</t>
  </si>
  <si>
    <t xml:space="preserve">บัวผนัง </t>
  </si>
  <si>
    <t>10ชิ้น/กล่อง</t>
  </si>
  <si>
    <t>-</t>
  </si>
  <si>
    <t>โกดัง</t>
  </si>
  <si>
    <t>เช็คล่าสุด 5/1/2023</t>
  </si>
  <si>
    <t>12 MM</t>
  </si>
  <si>
    <t>15 MM</t>
  </si>
  <si>
    <t>18 MM</t>
  </si>
  <si>
    <t>ใส</t>
  </si>
  <si>
    <t>ฟองน้ำ</t>
  </si>
  <si>
    <t>เส้นขาว</t>
  </si>
  <si>
    <t>หกเหลี่ยม</t>
  </si>
  <si>
    <t>โรงงาน</t>
  </si>
  <si>
    <t>โซ่วน ตู้ 11</t>
  </si>
  <si>
    <t>ของเข้า 2/12/2022</t>
  </si>
  <si>
    <t>โซ่วน/ขนาด</t>
  </si>
  <si>
    <t>สีขาว</t>
  </si>
  <si>
    <t>สีน้ำตาล</t>
  </si>
  <si>
    <t>สีดำ</t>
  </si>
  <si>
    <t>สีครีม</t>
  </si>
  <si>
    <r>
      <rPr>
        <sz val="20"/>
        <color rgb="FF000000"/>
        <rFont val="Tahoma, sans-serif"/>
      </rPr>
      <t>120</t>
    </r>
    <r>
      <rPr>
        <sz val="20"/>
        <color rgb="FFFF0000"/>
        <rFont val="Tahoma, sans-serif"/>
      </rPr>
      <t>(60)</t>
    </r>
  </si>
  <si>
    <r>
      <rPr>
        <sz val="20"/>
        <color rgb="FF000000"/>
        <rFont val="Tahoma, sans-serif"/>
      </rPr>
      <t>150</t>
    </r>
    <r>
      <rPr>
        <sz val="20"/>
        <color rgb="FFFF0000"/>
        <rFont val="Tahoma, sans-serif"/>
      </rPr>
      <t>(75)</t>
    </r>
  </si>
  <si>
    <t>400(1.80 ม.)</t>
  </si>
  <si>
    <r>
      <rPr>
        <sz val="20"/>
        <color rgb="FF000000"/>
        <rFont val="Tahoma, sans-serif"/>
      </rPr>
      <t>180</t>
    </r>
    <r>
      <rPr>
        <sz val="20"/>
        <color rgb="FFFF0000"/>
        <rFont val="Tahoma, sans-serif"/>
      </rPr>
      <t>(90)</t>
    </r>
  </si>
  <si>
    <r>
      <rPr>
        <sz val="20"/>
        <color rgb="FF000000"/>
        <rFont val="Tahoma, sans-serif"/>
      </rPr>
      <t>200</t>
    </r>
    <r>
      <rPr>
        <sz val="20"/>
        <color rgb="FFFF0000"/>
        <rFont val="Tahoma, sans-serif"/>
      </rPr>
      <t>(100)</t>
    </r>
  </si>
  <si>
    <r>
      <rPr>
        <sz val="20"/>
        <color rgb="FF000000"/>
        <rFont val="Tahoma, sans-serif"/>
      </rPr>
      <t>250</t>
    </r>
    <r>
      <rPr>
        <sz val="20"/>
        <color rgb="FFFF0000"/>
        <rFont val="Tahoma, sans-serif"/>
      </rPr>
      <t>(125)</t>
    </r>
  </si>
  <si>
    <r>
      <rPr>
        <sz val="20"/>
        <color rgb="FF000000"/>
        <rFont val="Tahoma, sans-serif"/>
      </rPr>
      <t>300</t>
    </r>
    <r>
      <rPr>
        <sz val="20"/>
        <color rgb="FFFF0000"/>
        <rFont val="Tahoma, sans-serif"/>
      </rPr>
      <t>(150)</t>
    </r>
  </si>
  <si>
    <r>
      <rPr>
        <sz val="20"/>
        <color rgb="FF000000"/>
        <rFont val="Tahoma, sans-serif"/>
      </rPr>
      <t>350</t>
    </r>
    <r>
      <rPr>
        <sz val="20"/>
        <color rgb="FFFF0000"/>
        <rFont val="Tahoma, sans-serif"/>
      </rPr>
      <t>(175)</t>
    </r>
  </si>
  <si>
    <t>800(3.6 ม.)</t>
  </si>
  <si>
    <t>200/กล่อง</t>
  </si>
  <si>
    <r>
      <rPr>
        <sz val="20"/>
        <color rgb="FF000000"/>
        <rFont val="Tahoma, sans-serif"/>
      </rPr>
      <t>360</t>
    </r>
    <r>
      <rPr>
        <sz val="20"/>
        <color rgb="FFFF0000"/>
        <rFont val="Tahoma, sans-serif"/>
      </rPr>
      <t>(180)</t>
    </r>
  </si>
  <si>
    <r>
      <rPr>
        <sz val="20"/>
        <color rgb="FF000000"/>
        <rFont val="Tahoma, sans-serif"/>
      </rPr>
      <t>400</t>
    </r>
    <r>
      <rPr>
        <sz val="20"/>
        <color rgb="FFFF0000"/>
        <rFont val="Tahoma, sans-serif"/>
      </rPr>
      <t>(200)</t>
    </r>
  </si>
  <si>
    <r>
      <rPr>
        <sz val="20"/>
        <color rgb="FF000000"/>
        <rFont val="Tahoma, sans-serif"/>
      </rPr>
      <t>450</t>
    </r>
    <r>
      <rPr>
        <sz val="20"/>
        <color rgb="FFFF0000"/>
        <rFont val="Tahoma, sans-serif"/>
      </rPr>
      <t>(225)</t>
    </r>
  </si>
  <si>
    <r>
      <rPr>
        <sz val="20"/>
        <color rgb="FF000000"/>
        <rFont val="Tahoma, sans-serif"/>
      </rPr>
      <t>480</t>
    </r>
    <r>
      <rPr>
        <sz val="20"/>
        <color rgb="FFFF0000"/>
        <rFont val="Tahoma, sans-serif"/>
      </rPr>
      <t>(240)</t>
    </r>
  </si>
  <si>
    <r>
      <rPr>
        <sz val="20"/>
        <color rgb="FF000000"/>
        <rFont val="Tahoma, sans-serif"/>
      </rPr>
      <t>500</t>
    </r>
    <r>
      <rPr>
        <sz val="20"/>
        <color rgb="FFFF0000"/>
        <rFont val="Tahoma, sans-serif"/>
      </rPr>
      <t>(250)</t>
    </r>
  </si>
  <si>
    <r>
      <rPr>
        <sz val="20"/>
        <color rgb="FF000000"/>
        <rFont val="Tahoma, sans-serif"/>
      </rPr>
      <t>600</t>
    </r>
    <r>
      <rPr>
        <sz val="20"/>
        <color rgb="FFFF0000"/>
        <rFont val="Tahoma, sans-serif"/>
      </rPr>
      <t>(300)</t>
    </r>
  </si>
  <si>
    <t xml:space="preserve">เชือกสีน้ำตาล </t>
  </si>
  <si>
    <t>2000/เมตร/ม้วน</t>
  </si>
  <si>
    <t>เช็ค 26/6/2024</t>
  </si>
  <si>
    <t>เชือกสีดำ</t>
  </si>
  <si>
    <t>เชือกสีครีม</t>
  </si>
  <si>
    <t>เชือกสีน้ำตาลเข้ม</t>
  </si>
  <si>
    <t xml:space="preserve">เชือกสีเทา </t>
  </si>
  <si>
    <t>เชือกม่านพับ</t>
  </si>
  <si>
    <t>PC01-1.0</t>
  </si>
  <si>
    <t>รางโซ่วน (โกดัง) 27/8/2024</t>
  </si>
  <si>
    <t>รางโซ่วน ของเข้า 28/1/2025</t>
  </si>
  <si>
    <t>ของเข้า 8/7/2025</t>
  </si>
  <si>
    <t>เส้น</t>
  </si>
  <si>
    <t>8/มัด</t>
  </si>
  <si>
    <t>8เส้น/กล่อง</t>
  </si>
  <si>
    <t xml:space="preserve">ตัวถ่วงมู่ลี่ไม้ </t>
  </si>
  <si>
    <t>ดำเก่า</t>
  </si>
  <si>
    <t>ดำ(ใหม่)</t>
  </si>
  <si>
    <t>น้ำตาลเข้ม</t>
  </si>
  <si>
    <t>เทา</t>
  </si>
  <si>
    <t>น้ำตาลอ่อน</t>
  </si>
  <si>
    <t>ครีม</t>
  </si>
  <si>
    <t>เบจ</t>
  </si>
  <si>
    <t>เช็ค เดือน 6</t>
  </si>
  <si>
    <t>ของเข้า 11/1/2025</t>
  </si>
  <si>
    <t xml:space="preserve">ทองเหลืองมู่ลี่    </t>
  </si>
  <si>
    <t>200/ถุง</t>
  </si>
  <si>
    <t>(เก่า)</t>
  </si>
  <si>
    <t>อุปกรณ์ 35 มิล</t>
  </si>
  <si>
    <t>ล็อคราง ： HB03-F1S</t>
  </si>
  <si>
    <t>จับกลาง ： HB29-1SP</t>
  </si>
  <si>
    <t>50 มิล</t>
  </si>
  <si>
    <t>บันไดธรรมดา อลูมิเนียม</t>
  </si>
  <si>
    <t>จุ๊บปิดรางล่างไม้ (แบบใหม่) 15/11/65</t>
  </si>
  <si>
    <t>จำนวน / ก</t>
  </si>
  <si>
    <t>ตู้ 11</t>
  </si>
  <si>
    <t>White</t>
  </si>
  <si>
    <t>Natural</t>
  </si>
  <si>
    <t>Walnut oak</t>
  </si>
  <si>
    <t>เขียว</t>
  </si>
  <si>
    <t xml:space="preserve"> Grey </t>
  </si>
  <si>
    <t>น้ำตาล</t>
  </si>
  <si>
    <t>อุปกรณ์ 50 มิล</t>
  </si>
  <si>
    <t>ฟ้า</t>
  </si>
  <si>
    <t>ชมพู</t>
  </si>
  <si>
    <t>แดง</t>
  </si>
  <si>
    <t>Red wood</t>
  </si>
  <si>
    <t>Pecan</t>
  </si>
  <si>
    <t>น้ำเงิน</t>
  </si>
  <si>
    <t>เหลืองอ่อน</t>
  </si>
  <si>
    <t>Golden oak</t>
  </si>
  <si>
    <t>25 มิล</t>
  </si>
  <si>
    <t>มู่ลี่ไม้</t>
  </si>
  <si>
    <t>35 มิล</t>
  </si>
  <si>
    <t>อลูมิเนียม+ไม้</t>
  </si>
  <si>
    <t>เชือก 2.0</t>
  </si>
  <si>
    <t>เชือกวน 5.0</t>
  </si>
  <si>
    <t>บันได / 50 เมตร/กล่อง</t>
  </si>
  <si>
    <t>บันได / 50 เมตร/ม้วน</t>
  </si>
  <si>
    <t>เชือก / 500 เมตร /ม้วน</t>
  </si>
  <si>
    <t>เชือก / 150 เมตร /ม้วน</t>
  </si>
  <si>
    <t>BD101</t>
  </si>
  <si>
    <t>Brown Antique</t>
  </si>
  <si>
    <t>Green (007)</t>
  </si>
  <si>
    <t>BD145</t>
  </si>
  <si>
    <t>BD113</t>
  </si>
  <si>
    <t>Natural '083</t>
  </si>
  <si>
    <t>S3</t>
  </si>
  <si>
    <t>Natural (113)</t>
  </si>
  <si>
    <t>BD139</t>
  </si>
  <si>
    <t>S7</t>
  </si>
  <si>
    <t>BD127</t>
  </si>
  <si>
    <t xml:space="preserve">LIight Grey </t>
  </si>
  <si>
    <t>S1</t>
  </si>
  <si>
    <t>BD128</t>
  </si>
  <si>
    <t>Dark Grey (เทาเข้ม)</t>
  </si>
  <si>
    <t>Walnut (088)</t>
  </si>
  <si>
    <t>S5</t>
  </si>
  <si>
    <t>Natural  (111)</t>
  </si>
  <si>
    <t>BD115</t>
  </si>
  <si>
    <t>S4</t>
  </si>
  <si>
    <t>Maple (115)</t>
  </si>
  <si>
    <t>BD123</t>
  </si>
  <si>
    <t>Red Wood (แดง)</t>
  </si>
  <si>
    <t>BD140</t>
  </si>
  <si>
    <t>S6</t>
  </si>
  <si>
    <t>BD111</t>
  </si>
  <si>
    <t>BEIGE-AFB02</t>
  </si>
  <si>
    <t>LIight Grey 555</t>
  </si>
  <si>
    <t>S2</t>
  </si>
  <si>
    <t>LIight Grey 021</t>
  </si>
  <si>
    <t>Maple  113</t>
  </si>
  <si>
    <t>S9</t>
  </si>
  <si>
    <t>Red Wood</t>
  </si>
  <si>
    <t>BD150</t>
  </si>
  <si>
    <t>Antique (ดำ)</t>
  </si>
  <si>
    <t>พีแคน</t>
  </si>
  <si>
    <t>S11</t>
  </si>
  <si>
    <t>583 (ลายดำ)</t>
  </si>
  <si>
    <t>ลายดำ</t>
  </si>
  <si>
    <t>581(ลายน้ำตาล)</t>
  </si>
  <si>
    <t>ลายน้ำตาล</t>
  </si>
  <si>
    <t>ลายครีม</t>
  </si>
  <si>
    <t>BD133</t>
  </si>
  <si>
    <t>BD167</t>
  </si>
  <si>
    <t>BD168</t>
  </si>
  <si>
    <t>BD169</t>
  </si>
  <si>
    <t>BD170</t>
  </si>
  <si>
    <t>BD175</t>
  </si>
  <si>
    <t>BD176</t>
  </si>
  <si>
    <t>BD177</t>
  </si>
  <si>
    <t>BD178</t>
  </si>
  <si>
    <t>BD179</t>
  </si>
  <si>
    <t>S10</t>
  </si>
  <si>
    <t>สีใหม่</t>
  </si>
  <si>
    <t>S20</t>
  </si>
  <si>
    <t>S21</t>
  </si>
  <si>
    <t>S22</t>
  </si>
  <si>
    <t>เทปผ้า มา 24/9/2024</t>
  </si>
  <si>
    <t>เทปผ้า walnut  50+35   มา 7/6/68</t>
  </si>
  <si>
    <t>เทปผ้า  35มิล มา 16/7/68</t>
  </si>
  <si>
    <t>เทปผ้า  50มิล มา 16/7/68</t>
  </si>
  <si>
    <t>เช็ค 22/12/2022</t>
  </si>
  <si>
    <t>no</t>
  </si>
  <si>
    <t>ตปท</t>
  </si>
  <si>
    <t>รหัสสี</t>
  </si>
  <si>
    <t>RF-20-20</t>
  </si>
  <si>
    <t>ฟ้าอ่อน</t>
  </si>
  <si>
    <t>RG-35-L132</t>
  </si>
  <si>
    <t>ขาวลอนน้ำเงิน</t>
  </si>
  <si>
    <t>RH-02-L040</t>
  </si>
  <si>
    <t>ครีมหิมะ</t>
  </si>
  <si>
    <t>REF-L040</t>
  </si>
  <si>
    <t>ครีมสองหน้า</t>
  </si>
  <si>
    <t>RG-070-L040</t>
  </si>
  <si>
    <t>ครีมลอนส้ม</t>
  </si>
  <si>
    <t>RYN-11-13</t>
  </si>
  <si>
    <t>ชมพูลีลา</t>
  </si>
  <si>
    <t>RYN-11-L132</t>
  </si>
  <si>
    <t>ขาวลีลา</t>
  </si>
  <si>
    <t>RH-02-L24</t>
  </si>
  <si>
    <t>เขียวหิมะ</t>
  </si>
  <si>
    <t>RH-346-L132</t>
  </si>
  <si>
    <t>เงิน</t>
  </si>
  <si>
    <t>RH-347-L132</t>
  </si>
  <si>
    <t>ทอง</t>
  </si>
  <si>
    <t>RG-132</t>
  </si>
  <si>
    <t>ขาวลอนเล็ก</t>
  </si>
  <si>
    <t>ม่านปรับแสง PVC</t>
  </si>
  <si>
    <t>เช็ครางบน+รางล่าง 27/8/2024</t>
  </si>
  <si>
    <t>Stock มู่ลี่ (โกดัง)</t>
  </si>
  <si>
    <t>อัพเดทล่าสุด 9/7/2024</t>
  </si>
  <si>
    <t>ของเข้า 29/6/2022</t>
  </si>
  <si>
    <t>มู่ลี่ 25มม</t>
  </si>
  <si>
    <t>ตู้ 2</t>
  </si>
  <si>
    <t>ของเข้า 13/3/2023</t>
  </si>
  <si>
    <t>ใบ</t>
  </si>
  <si>
    <t>ของเข้า 28/1/2025</t>
  </si>
  <si>
    <t>001</t>
  </si>
  <si>
    <t>067</t>
  </si>
  <si>
    <t>รางบน+รางล่าง กล่องละ 20</t>
  </si>
  <si>
    <t>002</t>
  </si>
  <si>
    <t>068</t>
  </si>
  <si>
    <t>002-1</t>
  </si>
  <si>
    <t>ใช้ 002</t>
  </si>
  <si>
    <t>069</t>
  </si>
  <si>
    <t>003</t>
  </si>
  <si>
    <t>071</t>
  </si>
  <si>
    <t>005</t>
  </si>
  <si>
    <t>072</t>
  </si>
  <si>
    <t>รางเป็น 333-1</t>
  </si>
  <si>
    <t>006</t>
  </si>
  <si>
    <t>073</t>
  </si>
  <si>
    <t>007</t>
  </si>
  <si>
    <t>075</t>
  </si>
  <si>
    <t>008</t>
  </si>
  <si>
    <t>076</t>
  </si>
  <si>
    <t>009</t>
  </si>
  <si>
    <t>077</t>
  </si>
  <si>
    <t>011</t>
  </si>
  <si>
    <t>078</t>
  </si>
  <si>
    <t>012</t>
  </si>
  <si>
    <t>079</t>
  </si>
  <si>
    <t>016</t>
  </si>
  <si>
    <t>080</t>
  </si>
  <si>
    <t>017</t>
  </si>
  <si>
    <t>081</t>
  </si>
  <si>
    <t>018</t>
  </si>
  <si>
    <t>082</t>
  </si>
  <si>
    <t>019</t>
  </si>
  <si>
    <t>083</t>
  </si>
  <si>
    <t xml:space="preserve">  </t>
  </si>
  <si>
    <t>020</t>
  </si>
  <si>
    <t>085</t>
  </si>
  <si>
    <t>021</t>
  </si>
  <si>
    <t>087</t>
  </si>
  <si>
    <t>022</t>
  </si>
  <si>
    <t>088</t>
  </si>
  <si>
    <t>023</t>
  </si>
  <si>
    <t>089</t>
  </si>
  <si>
    <t>024</t>
  </si>
  <si>
    <t>707</t>
  </si>
  <si>
    <t>025</t>
  </si>
  <si>
    <t>333</t>
  </si>
  <si>
    <t>026</t>
  </si>
  <si>
    <t>333-1</t>
  </si>
  <si>
    <t>027</t>
  </si>
  <si>
    <t>555</t>
  </si>
  <si>
    <t>028</t>
  </si>
  <si>
    <t>555-1</t>
  </si>
  <si>
    <t>029</t>
  </si>
  <si>
    <t>999</t>
  </si>
  <si>
    <t>030</t>
  </si>
  <si>
    <t>9-11</t>
  </si>
  <si>
    <t>031</t>
  </si>
  <si>
    <t>9-33</t>
  </si>
  <si>
    <t>032</t>
  </si>
  <si>
    <t>9-22</t>
  </si>
  <si>
    <t>WD1240</t>
  </si>
  <si>
    <t>033</t>
  </si>
  <si>
    <t>9-71</t>
  </si>
  <si>
    <t>WBR4387</t>
  </si>
  <si>
    <t>ของมา 4/4/68</t>
  </si>
  <si>
    <t>อย่างละ 20</t>
  </si>
  <si>
    <t>035</t>
  </si>
  <si>
    <t>9-72</t>
  </si>
  <si>
    <t>WA370</t>
  </si>
  <si>
    <t>036</t>
  </si>
  <si>
    <t>8-707</t>
  </si>
  <si>
    <t>3814P</t>
  </si>
  <si>
    <t>037</t>
  </si>
  <si>
    <t>8-21</t>
  </si>
  <si>
    <t>3804P</t>
  </si>
  <si>
    <t>038</t>
  </si>
  <si>
    <t>8-22</t>
  </si>
  <si>
    <t>3537P</t>
  </si>
  <si>
    <t>039</t>
  </si>
  <si>
    <t>8-35</t>
  </si>
  <si>
    <t>3601P</t>
  </si>
  <si>
    <t>050</t>
  </si>
  <si>
    <t>8-77</t>
  </si>
  <si>
    <t>3402P</t>
  </si>
  <si>
    <t>051</t>
  </si>
  <si>
    <t>8-555</t>
  </si>
  <si>
    <t>3937P</t>
  </si>
  <si>
    <t>053</t>
  </si>
  <si>
    <t>8-057</t>
  </si>
  <si>
    <t>3812P</t>
  </si>
  <si>
    <t>055</t>
  </si>
  <si>
    <t>057</t>
  </si>
  <si>
    <t>CPA07</t>
  </si>
  <si>
    <t>058</t>
  </si>
  <si>
    <t>059</t>
  </si>
  <si>
    <t>061</t>
  </si>
  <si>
    <t>062</t>
  </si>
  <si>
    <t>cp706</t>
  </si>
  <si>
    <t>063</t>
  </si>
  <si>
    <t>064</t>
  </si>
  <si>
    <t>065</t>
  </si>
  <si>
    <t>มู่ลี่อลูมิเนียม 35 มิล + 50 มิล</t>
  </si>
  <si>
    <t>มู่ลี่ 35 มม</t>
  </si>
  <si>
    <t>ตู้ 18</t>
  </si>
  <si>
    <t>ตปท.</t>
  </si>
  <si>
    <t>35-001</t>
  </si>
  <si>
    <t>ใบไม่รีด</t>
  </si>
  <si>
    <t>35-021</t>
  </si>
  <si>
    <t>Grey</t>
  </si>
  <si>
    <t>35-007</t>
  </si>
  <si>
    <t>Green</t>
  </si>
  <si>
    <t>35-071</t>
  </si>
  <si>
    <t>Blue sky</t>
  </si>
  <si>
    <t>35-088</t>
  </si>
  <si>
    <t>Brown</t>
  </si>
  <si>
    <t>35-089</t>
  </si>
  <si>
    <t>Cream</t>
  </si>
  <si>
    <t>35-555</t>
  </si>
  <si>
    <t>Silver</t>
  </si>
  <si>
    <t>35-055</t>
  </si>
  <si>
    <t>Violet</t>
  </si>
  <si>
    <t>HT01-1S</t>
  </si>
  <si>
    <t>HT24-1S</t>
  </si>
  <si>
    <t>มู่ลี่ 50มม</t>
  </si>
  <si>
    <t>รางบน/8 เส้น</t>
  </si>
  <si>
    <t>รางล่าง/500ม.</t>
  </si>
  <si>
    <t>50-001</t>
  </si>
  <si>
    <t>50-021</t>
  </si>
  <si>
    <t>50-007</t>
  </si>
  <si>
    <t>50-071</t>
  </si>
  <si>
    <t>50-088</t>
  </si>
  <si>
    <t>50-089</t>
  </si>
  <si>
    <t>ไม่ได้ใช้</t>
  </si>
  <si>
    <t>ทองแดง</t>
  </si>
  <si>
    <t>50-555</t>
  </si>
  <si>
    <t>50-055</t>
  </si>
  <si>
    <t xml:space="preserve">                                            </t>
  </si>
  <si>
    <t>STOCK ม่านปรับแสง</t>
  </si>
  <si>
    <t>ของเข้า 6/10/2020</t>
  </si>
  <si>
    <t>เช็ค 19/12/67</t>
  </si>
  <si>
    <t>NO</t>
  </si>
  <si>
    <t>89mm</t>
  </si>
  <si>
    <t>สี/ลาย</t>
  </si>
  <si>
    <t>ตู้ (โกดัง)</t>
  </si>
  <si>
    <t>C</t>
  </si>
  <si>
    <t>0103</t>
  </si>
  <si>
    <t>เมฆส้ม</t>
  </si>
  <si>
    <t>ตู้ 9</t>
  </si>
  <si>
    <t>0104</t>
  </si>
  <si>
    <t>เมฆเหลือง</t>
  </si>
  <si>
    <t>0105</t>
  </si>
  <si>
    <t>เมฆชมพู</t>
  </si>
  <si>
    <t>0107</t>
  </si>
  <si>
    <t xml:space="preserve">เมฆฟ้า </t>
  </si>
  <si>
    <t>0108</t>
  </si>
  <si>
    <t>เมฆน้ำเงิน</t>
  </si>
  <si>
    <t>0109</t>
  </si>
  <si>
    <t>เมฆเทา</t>
  </si>
  <si>
    <t>B</t>
  </si>
  <si>
    <t>0211</t>
  </si>
  <si>
    <t>ลายกระดาษสาน้ำตาล</t>
  </si>
  <si>
    <t>0214</t>
  </si>
  <si>
    <t>ลายกระดาษสาครีม</t>
  </si>
  <si>
    <t>0216</t>
  </si>
  <si>
    <t>ลายกระดาษสาชมพู</t>
  </si>
  <si>
    <t>0217</t>
  </si>
  <si>
    <t>ลายกระดาษสาฟ้า</t>
  </si>
  <si>
    <t>0219</t>
  </si>
  <si>
    <t>ลายกระดาษสาเทา</t>
  </si>
  <si>
    <t>0221</t>
  </si>
  <si>
    <t>ลายกระดาษสาเขียวอ่อน</t>
  </si>
  <si>
    <t>0222</t>
  </si>
  <si>
    <t>ลายกระดาษสาเขียวขี้ม้า</t>
  </si>
  <si>
    <t>0301</t>
  </si>
  <si>
    <t>ลายไทย - ขาว</t>
  </si>
  <si>
    <t>0303</t>
  </si>
  <si>
    <t>ลายไทย - ส้มอ่อน</t>
  </si>
  <si>
    <t>0305</t>
  </si>
  <si>
    <t>ลายไทย - ชมพู</t>
  </si>
  <si>
    <t>0306</t>
  </si>
  <si>
    <t>ลายไทย - เขียว</t>
  </si>
  <si>
    <t>0308</t>
  </si>
  <si>
    <t>ลายไทย - ฟ้า</t>
  </si>
  <si>
    <t>0310</t>
  </si>
  <si>
    <t>ลายไทย - น้ำตาล</t>
  </si>
  <si>
    <t>0404</t>
  </si>
  <si>
    <t>ผนังเหลือง</t>
  </si>
  <si>
    <t>0405</t>
  </si>
  <si>
    <t>ผนังม่วงอ่อน</t>
  </si>
  <si>
    <t>0406</t>
  </si>
  <si>
    <t>ผนังเขียว</t>
  </si>
  <si>
    <t>0408</t>
  </si>
  <si>
    <t>ผนังฟ้า</t>
  </si>
  <si>
    <t>0409</t>
  </si>
  <si>
    <t>ผนังเทา</t>
  </si>
  <si>
    <t>A</t>
  </si>
  <si>
    <t>0701</t>
  </si>
  <si>
    <t>X</t>
  </si>
  <si>
    <t>0702</t>
  </si>
  <si>
    <t>มาลีวัลย์งาช้าง</t>
  </si>
  <si>
    <t>0703</t>
  </si>
  <si>
    <t>มาลีวัลย์ส้ม</t>
  </si>
  <si>
    <t>0706</t>
  </si>
  <si>
    <t>มาลีวัลย์เขียว</t>
  </si>
  <si>
    <t>0707</t>
  </si>
  <si>
    <t>มาลีวัลย์ฟ้า</t>
  </si>
  <si>
    <t>0901</t>
  </si>
  <si>
    <t>ข้าวหลามตัด- ครีม</t>
  </si>
  <si>
    <t>ตู้ 5</t>
  </si>
  <si>
    <t>0905</t>
  </si>
  <si>
    <t>ข้าวหลามตัด-โอรส</t>
  </si>
  <si>
    <t>ตู้4</t>
  </si>
  <si>
    <t>0907</t>
  </si>
  <si>
    <t>ข้าวหลามตัด-ฟ้า</t>
  </si>
  <si>
    <t>0908</t>
  </si>
  <si>
    <t>ข้าวหลามตัด-ม่วง</t>
  </si>
  <si>
    <t>0909</t>
  </si>
  <si>
    <t>ข้าวหลามตัด-น้ำตาล</t>
  </si>
  <si>
    <t>แพรวาขาว</t>
  </si>
  <si>
    <t>แพรวาทอง</t>
  </si>
  <si>
    <t>แพรวาเทา</t>
  </si>
  <si>
    <t>แพรวาฟ้า</t>
  </si>
  <si>
    <t>แพรวาน้ำตาล</t>
  </si>
  <si>
    <t>ลายเกล็ดหิมะส้ม</t>
  </si>
  <si>
    <t>ลายเกล็ดหิมะฟ้า</t>
  </si>
  <si>
    <t>ลินินขาว</t>
  </si>
  <si>
    <t>ลินินครีม</t>
  </si>
  <si>
    <t>ลินินน้ำเงิน</t>
  </si>
  <si>
    <t>เรขา-ฟ้า</t>
  </si>
  <si>
    <t>ตู้7</t>
  </si>
  <si>
    <t>ฝันสีม่วง</t>
  </si>
  <si>
    <t>ป่านน้ำตาลแซม</t>
  </si>
  <si>
    <t>ป่านน้ำตาล</t>
  </si>
  <si>
    <t>ป่านทางฟ้าอ่อน</t>
  </si>
  <si>
    <t>ป่านทางน้ำตาล</t>
  </si>
  <si>
    <t>ป่านทางฟ้า</t>
  </si>
  <si>
    <t>เหลืองมะนาว</t>
  </si>
  <si>
    <t>เขียวตอง</t>
  </si>
  <si>
    <t>ส้มอ่อน</t>
  </si>
  <si>
    <t>น้ำตาลนาวี</t>
  </si>
  <si>
    <t>ส้ม</t>
  </si>
  <si>
    <t>AA</t>
  </si>
  <si>
    <t>ทึบแสงครีม</t>
  </si>
  <si>
    <t>ตู้ 7</t>
  </si>
  <si>
    <t>ทึบแสงเขียว</t>
  </si>
  <si>
    <t>ทึบแสงทางเขียว-ฟ้า</t>
  </si>
  <si>
    <t>ยกเลิก</t>
  </si>
  <si>
    <t>BB</t>
  </si>
  <si>
    <t>ทึบแสงทางชมพู</t>
  </si>
  <si>
    <t>ทึบแสงริ้วครีม*มีตำหนิ*</t>
  </si>
  <si>
    <t>ทึบแสงริ้วฟ้า*มีตำหนิ*</t>
  </si>
  <si>
    <t>ทึบแสงริ้วเขียว**มีตำหนิ**</t>
  </si>
  <si>
    <t>ชัยพฤกษ์ครีม</t>
  </si>
  <si>
    <t xml:space="preserve">ชัยพฤกษ์ส้ม </t>
  </si>
  <si>
    <t>ชัยพฤกษ์ฟ้า</t>
  </si>
  <si>
    <t>ชัยพฤกษ์เขียว</t>
  </si>
  <si>
    <t>ชัยพฤกษ์เทา</t>
  </si>
  <si>
    <t>นิตติ้ง-ขาว</t>
  </si>
  <si>
    <t>นิตติ้ง-ครีม</t>
  </si>
  <si>
    <t>นิตติ้ง-โอรส</t>
  </si>
  <si>
    <t>นิตติ้ง-เหลือง</t>
  </si>
  <si>
    <t>นิตติ้ง-ชมพุ</t>
  </si>
  <si>
    <t>นิตติ้ง-เขียว</t>
  </si>
  <si>
    <t>นิตติ้ง-ฟ้า</t>
  </si>
  <si>
    <t>ลูกฟูกเหลือง</t>
  </si>
  <si>
    <t>ลูกฟูกส้ม</t>
  </si>
  <si>
    <t>ลูกฟูกอิฐ</t>
  </si>
  <si>
    <t>ลูกฟูกขาว</t>
  </si>
  <si>
    <t>ลูกฟูกเขียว</t>
  </si>
  <si>
    <t>ลูกฟูกเทา</t>
  </si>
  <si>
    <r>
      <rPr>
        <sz val="18"/>
        <color rgb="FF000000"/>
        <rFont val="Arial, sans-serif"/>
      </rPr>
      <t>ลูกฟูกน้ำเงินอ่อน</t>
    </r>
    <r>
      <rPr>
        <b/>
        <sz val="18"/>
        <color rgb="FF000000"/>
        <rFont val="Arial, sans-serif"/>
      </rPr>
      <t xml:space="preserve"> *สีเพี้ยนเป็นเขียว</t>
    </r>
  </si>
  <si>
    <t>ลูกฟูก - แดง</t>
  </si>
  <si>
    <t>ลูกฟูก - ดำ</t>
  </si>
  <si>
    <t>ลายทาง - ชมพู</t>
  </si>
  <si>
    <t>ลูกศรขาว</t>
  </si>
  <si>
    <t>ลายทางเลือดหมู</t>
  </si>
  <si>
    <t>ลายทาง - ส้ม</t>
  </si>
  <si>
    <t>ลายทาง - ฟ้า</t>
  </si>
  <si>
    <t>ลายทาง - ครีม</t>
  </si>
  <si>
    <t>ลายทาง - เขียว</t>
  </si>
  <si>
    <t>ริ้วขาว</t>
  </si>
  <si>
    <t>ริ้วเทา</t>
  </si>
  <si>
    <t>เส้นทะแยงครีม</t>
  </si>
  <si>
    <t>เส้นทะแยงน้ำตาล</t>
  </si>
  <si>
    <t>เส้นทะแยงเทา</t>
  </si>
  <si>
    <t>ไผ่ทอง</t>
  </si>
  <si>
    <t>น้ำตาลริ้วเงิน</t>
  </si>
  <si>
    <t>ครีมริ้วเงิน</t>
  </si>
  <si>
    <t>เทาริ้วเงิน</t>
  </si>
  <si>
    <t>ไผ่เงิน</t>
  </si>
  <si>
    <t>ลายตลับแป้งเหลือง</t>
  </si>
  <si>
    <t>ลายตลับแป้งเขียว</t>
  </si>
  <si>
    <t>ลายตลับแป้งน้ำเงิน</t>
  </si>
  <si>
    <t>ลายตลับแป้งเทา</t>
  </si>
  <si>
    <t>เส้นทะแยงน้ำเงิน</t>
  </si>
  <si>
    <t>กระสอบครีม</t>
  </si>
  <si>
    <t>เส้นทะแยงเลือดหมู</t>
  </si>
  <si>
    <t>กระสอบขาว</t>
  </si>
  <si>
    <t>กระสอบเหลือง</t>
  </si>
  <si>
    <t>กระสอบชมพู</t>
  </si>
  <si>
    <t>ลายเสื่อน้ำตาล</t>
  </si>
  <si>
    <t>ตู้ 4</t>
  </si>
  <si>
    <t>ลายเสื่อฟ้า</t>
  </si>
  <si>
    <t>ลายเสื่อเขียว</t>
  </si>
  <si>
    <t>ลายเสื่อเหลือง</t>
  </si>
  <si>
    <t>ลายสายน้ำส้ม</t>
  </si>
  <si>
    <t>ลายสายน้ำชมพู</t>
  </si>
  <si>
    <t>ลายสายน้ำฟ้าคราม</t>
  </si>
  <si>
    <r>
      <rPr>
        <sz val="18"/>
        <color rgb="FF000000"/>
        <rFont val="Arial, sans-serif"/>
      </rPr>
      <t xml:space="preserve">ลายสายน้ำฟ้าใส </t>
    </r>
    <r>
      <rPr>
        <b/>
        <sz val="18"/>
        <color rgb="FF000000"/>
        <rFont val="Arial, sans-serif"/>
      </rPr>
      <t>*สีเพี้ยน</t>
    </r>
  </si>
  <si>
    <t>ลายสายน้ำฟ้าอ่อน</t>
  </si>
  <si>
    <t>ลายสายน้ำขาว</t>
  </si>
  <si>
    <t>พฤกษาเทา</t>
  </si>
  <si>
    <t>พฤกษาดำแซมน้ำเงิน</t>
  </si>
  <si>
    <t>พฤกษาน้ำตาล</t>
  </si>
  <si>
    <t>พฤกษาส้ม</t>
  </si>
  <si>
    <t>รังผึ้งสีขาว</t>
  </si>
  <si>
    <t>รังผึ้งสีส้ม</t>
  </si>
  <si>
    <t>รังผึ้งสีชมพู</t>
  </si>
  <si>
    <t>รังผึ้งสีน้ำเงิน</t>
  </si>
  <si>
    <t>ลายเอสเขียว</t>
  </si>
  <si>
    <t>ลายเอสส้ม</t>
  </si>
  <si>
    <t>ลายเอสฟ้า</t>
  </si>
  <si>
    <t>ลายเอสเหลือง</t>
  </si>
  <si>
    <t>ภู่กันสีเทา</t>
  </si>
  <si>
    <t>ภู่กันสีครีม</t>
  </si>
  <si>
    <t>ภู่กันสีอิฐ</t>
  </si>
  <si>
    <t>ลาวาขาว</t>
  </si>
  <si>
    <t>ลาวาเหลือง</t>
  </si>
  <si>
    <t>ลาวาโอรส</t>
  </si>
  <si>
    <t>ลาวาเขียว</t>
  </si>
  <si>
    <t>ลาวาฟ้า</t>
  </si>
  <si>
    <t>ลายพัดจีบขาว</t>
  </si>
  <si>
    <t>พัดจับครีม</t>
  </si>
  <si>
    <t>ลายพัดจีบเหลือง</t>
  </si>
  <si>
    <t>ลายพัดจีบโอรส</t>
  </si>
  <si>
    <t xml:space="preserve">ลายพัดจีบชมพู </t>
  </si>
  <si>
    <t>ลายพัดจีบเขียว</t>
  </si>
  <si>
    <t>ลายพัดจีบฟ้า</t>
  </si>
  <si>
    <t>เวนิสครีมส้ม</t>
  </si>
  <si>
    <t>เวนิสชมพู</t>
  </si>
  <si>
    <t>เวนิสส้มเขียว</t>
  </si>
  <si>
    <t>เวนิสเขียวอ่อน</t>
  </si>
  <si>
    <t>หางนกยูง - ครีม</t>
  </si>
  <si>
    <t>หางนกยูง - ส้มอ่อน</t>
  </si>
  <si>
    <t>หางนกยูง - ชมพู</t>
  </si>
  <si>
    <t>หางนกยูง - เขียว</t>
  </si>
  <si>
    <t>หางนกยูง-ฟ้า</t>
  </si>
  <si>
    <t xml:space="preserve">ฟองน้ำขาว </t>
  </si>
  <si>
    <t>ฟองน้ำเหลืองอ่อน</t>
  </si>
  <si>
    <t>ฟองน้ำส้มอ่อน</t>
  </si>
  <si>
    <t>ฟองน้ำเขียว</t>
  </si>
  <si>
    <t>ฟองน้ำฟ้า</t>
  </si>
  <si>
    <t>ป่านอินธนู</t>
  </si>
  <si>
    <t>ภาพพิมพ์ส้มอ่อน</t>
  </si>
  <si>
    <t>ภาพพิมพ์เทา</t>
  </si>
  <si>
    <t>ภาพพิมพ์ชมพู</t>
  </si>
  <si>
    <t>ภาพพิมพ์ฟ้า</t>
  </si>
  <si>
    <t>ภาพพิมพ์เขียว</t>
  </si>
  <si>
    <t>กำมะหยี่ครีม</t>
  </si>
  <si>
    <t>กำมะหยี่ทอง</t>
  </si>
  <si>
    <t>ลายภูษาม่วง</t>
  </si>
  <si>
    <t>ไหม-ครีม</t>
  </si>
  <si>
    <t>ไหม-น้ำตาลทอง</t>
  </si>
  <si>
    <t>ไหม-ฟ้าใส</t>
  </si>
  <si>
    <t>ไหม-ม่วง</t>
  </si>
  <si>
    <t>ลายสายฝนอิฐ</t>
  </si>
  <si>
    <t>ลายสายฝนครีมเข้ม</t>
  </si>
  <si>
    <t>ลายสายฝนน้ำตาลเข้ม</t>
  </si>
  <si>
    <t>ลายสายฝนครีม</t>
  </si>
  <si>
    <t>ลายสายฝนเขียว</t>
  </si>
  <si>
    <t>ลายจีนครีม</t>
  </si>
  <si>
    <t>ลายจีนส้มอ่อน</t>
  </si>
  <si>
    <t>ลายจีนเหลือง</t>
  </si>
  <si>
    <t>ลายจีนเทา</t>
  </si>
  <si>
    <t>ลายจีนน้ำเงิน</t>
  </si>
  <si>
    <t>ลายจีนเขียว</t>
  </si>
  <si>
    <t>ลินินเขียว</t>
  </si>
  <si>
    <t>ลินินฟ้า</t>
  </si>
  <si>
    <t>ลินินเทา</t>
  </si>
  <si>
    <t>พื้นครีมทึบแสง**ไฟไหม้**</t>
  </si>
  <si>
    <t>เทาทึบแสง**ไฟไหม้**</t>
  </si>
  <si>
    <t>เทาเข้มทึบแสง**ไฟไหม้**</t>
  </si>
  <si>
    <t>ฟ้าทึบแสง**ไฟไหม้**</t>
  </si>
  <si>
    <t>ทึบแสงครีมเข้ม</t>
  </si>
  <si>
    <t>ทึบแสงน้ำเงิน</t>
  </si>
  <si>
    <t>BB 9917</t>
  </si>
  <si>
    <t>สีใหม่ ดำแอนทีค</t>
  </si>
  <si>
    <t>ใช้แทน 9914</t>
  </si>
  <si>
    <t>สีใหม่ ฟ้า</t>
  </si>
  <si>
    <t>ใช้แทน 9911</t>
  </si>
  <si>
    <t>สีใหม่ เทาอ่อน</t>
  </si>
  <si>
    <t>ใช้แทน 9915</t>
  </si>
  <si>
    <t>สีใหม่ ครีม</t>
  </si>
  <si>
    <t>3903</t>
  </si>
  <si>
    <t xml:space="preserve">สีใหม่ </t>
  </si>
  <si>
    <t>ใช้แทน 9910</t>
  </si>
  <si>
    <t>3909</t>
  </si>
  <si>
    <t>BB9912</t>
  </si>
  <si>
    <t>3912</t>
  </si>
  <si>
    <t>BB 9913</t>
  </si>
  <si>
    <t>3910</t>
  </si>
  <si>
    <t>F1004-J</t>
  </si>
  <si>
    <t>V501</t>
  </si>
  <si>
    <t>ตาข่ายขาว</t>
  </si>
  <si>
    <t>V502</t>
  </si>
  <si>
    <t>ตาข่ายน้ำตาล</t>
  </si>
  <si>
    <t>V503</t>
  </si>
  <si>
    <t>ตาข่ายดำ</t>
  </si>
  <si>
    <t>V505</t>
  </si>
  <si>
    <t>ตาข่ายเทา</t>
  </si>
  <si>
    <t>V905</t>
  </si>
  <si>
    <t>ดาวหางชมพู</t>
  </si>
  <si>
    <t>V906</t>
  </si>
  <si>
    <t>ดาวหางเทา</t>
  </si>
  <si>
    <t>V923</t>
  </si>
  <si>
    <t>ใยผ้าฟ้า</t>
  </si>
  <si>
    <t>V927</t>
  </si>
  <si>
    <r>
      <rPr>
        <sz val="18"/>
        <color rgb="FF000000"/>
        <rFont val="Arial, sans-serif"/>
      </rPr>
      <t xml:space="preserve">ใยผ้าเขียว </t>
    </r>
    <r>
      <rPr>
        <b/>
        <sz val="18"/>
        <color rgb="FF000000"/>
        <rFont val="Arial, sans-serif"/>
      </rPr>
      <t>**ใช้ไม่ได้เลย</t>
    </r>
  </si>
  <si>
    <t>V929</t>
  </si>
  <si>
    <t>ใยผ้าส้ม</t>
  </si>
  <si>
    <t>SZH-0022</t>
  </si>
  <si>
    <t>SZH-0028</t>
  </si>
  <si>
    <t>SZH-0029</t>
  </si>
  <si>
    <t>A5-0002</t>
  </si>
  <si>
    <t>A5-0003</t>
  </si>
  <si>
    <t>A5-0004</t>
  </si>
  <si>
    <t>A5-0005</t>
  </si>
  <si>
    <t>A5-0006</t>
  </si>
  <si>
    <t>A5-0007</t>
  </si>
  <si>
    <t>A5-0008</t>
  </si>
  <si>
    <t>MED-0062</t>
  </si>
  <si>
    <t>MED-0064</t>
  </si>
  <si>
    <t>MED-0065</t>
  </si>
  <si>
    <t>MED-0066</t>
  </si>
  <si>
    <t>MED-0067</t>
  </si>
  <si>
    <t>127mm</t>
  </si>
  <si>
    <t>ตู้โกดัง</t>
  </si>
  <si>
    <t>P-201</t>
  </si>
  <si>
    <t>เรขา-ขาว</t>
  </si>
  <si>
    <t>P-205</t>
  </si>
  <si>
    <t>เรขา-ชมพู</t>
  </si>
  <si>
    <t>P-207</t>
  </si>
  <si>
    <t>เรขา-ฟ้าอ่อน</t>
  </si>
  <si>
    <t>P-208</t>
  </si>
  <si>
    <t>เรขา-น้ำเงินอ่อน</t>
  </si>
  <si>
    <t>P-210</t>
  </si>
  <si>
    <t>เรขา-น้ำตาล</t>
  </si>
  <si>
    <t>P-921</t>
  </si>
  <si>
    <t>ครีม-เส้นทแยง</t>
  </si>
  <si>
    <t>P-923</t>
  </si>
  <si>
    <t>ฟ้า-เส้นทแยง</t>
  </si>
  <si>
    <t>P-924</t>
  </si>
  <si>
    <t>กาแฟ-เส้นทแยง</t>
  </si>
  <si>
    <t>P-928</t>
  </si>
  <si>
    <t>อิฐ-เส้นทแยง</t>
  </si>
  <si>
    <t>P-941</t>
  </si>
  <si>
    <t>ครีมเชอรี่</t>
  </si>
  <si>
    <t>P-946</t>
  </si>
  <si>
    <t>ฟ้าเชอรี่</t>
  </si>
  <si>
    <t>เช็คล่าสุด 28-29/5/2025</t>
  </si>
  <si>
    <t>ใบ 4.5ft</t>
  </si>
  <si>
    <t>ใบ 5.5ft</t>
  </si>
  <si>
    <t>ใบ 6.5ft</t>
  </si>
  <si>
    <t>20/กล่อง</t>
  </si>
  <si>
    <t>รางล่าง 4 F</t>
  </si>
  <si>
    <t>รางล่าง 4.5 F</t>
  </si>
  <si>
    <t>รางล่าง 5 F</t>
  </si>
  <si>
    <t>รางล่าง 5.5 F</t>
  </si>
  <si>
    <t>รางล่าง 6 F</t>
  </si>
  <si>
    <t>รางล่าง 6.5 F</t>
  </si>
  <si>
    <t>รางล่าง 7 F</t>
  </si>
  <si>
    <t>รางล่าง 8 F</t>
  </si>
  <si>
    <t xml:space="preserve">บังราง 4F </t>
  </si>
  <si>
    <t xml:space="preserve">บังราง 4.5F </t>
  </si>
  <si>
    <t>บังราง 5F</t>
  </si>
  <si>
    <t>บังราง 5.5F</t>
  </si>
  <si>
    <t xml:space="preserve">บังราง 6.5F </t>
  </si>
  <si>
    <t xml:space="preserve">บังราง 7F </t>
  </si>
  <si>
    <t>SA 65</t>
  </si>
  <si>
    <t xml:space="preserve">BLUE </t>
  </si>
  <si>
    <t>SA 66</t>
  </si>
  <si>
    <t>GREEN</t>
  </si>
  <si>
    <t>SA 67</t>
  </si>
  <si>
    <t>SA 68</t>
  </si>
  <si>
    <t>SA 69</t>
  </si>
  <si>
    <t>FW 350</t>
  </si>
  <si>
    <t>ของ 10/7/68</t>
  </si>
  <si>
    <t>ใบ 4F</t>
  </si>
  <si>
    <t>ใบ 4.5F</t>
  </si>
  <si>
    <t>ใบ 5F</t>
  </si>
  <si>
    <t>ใบ 5.5F</t>
  </si>
  <si>
    <t>ใบ 6F</t>
  </si>
  <si>
    <t>ใบ 6.5F</t>
  </si>
  <si>
    <t>ใบ 7F</t>
  </si>
  <si>
    <t>ใบ 8F</t>
  </si>
  <si>
    <t>เช็ค  29/5/2025</t>
  </si>
  <si>
    <t>มู่ลี่ไม้เข้า 10/7/2025</t>
  </si>
  <si>
    <t>เช็คล่าสุด 13/3/2023</t>
  </si>
  <si>
    <t>Stock ม่านปรับแสงอลูมิเนียม</t>
  </si>
  <si>
    <t>ม่านปรับแสง
 ใบอลูมิเนียม 89MM</t>
  </si>
  <si>
    <t>รหัส ตปท.</t>
  </si>
  <si>
    <t>ตู้</t>
  </si>
  <si>
    <t>Update 4/5/2022</t>
  </si>
  <si>
    <t>ตู้ 1</t>
  </si>
  <si>
    <t>ไม่รีด 9 กล่อง</t>
  </si>
  <si>
    <t>CP 826</t>
  </si>
  <si>
    <t>ใช้ไม่ได้ 6</t>
  </si>
  <si>
    <t>**ไม่รู้สี**</t>
  </si>
  <si>
    <t>ม่านปรับแสง
 ใบอลูมิเนียมแบบมีรู</t>
  </si>
  <si>
    <t>535 P Blue sheen</t>
  </si>
  <si>
    <t>521P Grey</t>
  </si>
  <si>
    <t>522P Sea Form</t>
  </si>
  <si>
    <t>501P White</t>
  </si>
  <si>
    <t>Stock ม่านม้วน @ โรงงาน + โกดัง</t>
  </si>
  <si>
    <t>เช็ค 19/6/2025</t>
  </si>
  <si>
    <t>ของเข้า 24/2/2025</t>
  </si>
  <si>
    <t>RFB01</t>
  </si>
  <si>
    <t>ลินินทึบแสงขาว</t>
  </si>
  <si>
    <t>H2500</t>
  </si>
  <si>
    <t>เลขาขาว</t>
  </si>
  <si>
    <t>BOUVI</t>
  </si>
  <si>
    <t>ทึบแสง</t>
  </si>
  <si>
    <t>SZH-0021</t>
  </si>
  <si>
    <t>RFB02</t>
  </si>
  <si>
    <t>ลินินทึบแสงครีม</t>
  </si>
  <si>
    <t>RFH2502</t>
  </si>
  <si>
    <t>H2502</t>
  </si>
  <si>
    <t>เลขาเหลือง</t>
  </si>
  <si>
    <t>RFB03</t>
  </si>
  <si>
    <t>RFH2503</t>
  </si>
  <si>
    <t>H2503</t>
  </si>
  <si>
    <t>เลขาทอง</t>
  </si>
  <si>
    <t>RFB06</t>
  </si>
  <si>
    <t>ลินินทึบแสงเทา</t>
  </si>
  <si>
    <t>RFH2504</t>
  </si>
  <si>
    <t>H2504</t>
  </si>
  <si>
    <t>เลขาฟ้า</t>
  </si>
  <si>
    <t>SZH-0024</t>
  </si>
  <si>
    <t>RB01 ทึบแสงขาว</t>
  </si>
  <si>
    <t xml:space="preserve">H2700 </t>
  </si>
  <si>
    <t>ใบขาว</t>
  </si>
  <si>
    <r>
      <rPr>
        <sz val="18"/>
        <color rgb="FF000000"/>
        <rFont val="Calibri, sans-serif"/>
      </rPr>
      <t xml:space="preserve">RB03 ทึบแสงครีม </t>
    </r>
    <r>
      <rPr>
        <b/>
        <sz val="18"/>
        <color rgb="FFFF0000"/>
        <rFont val="Calibri, sans-serif"/>
      </rPr>
      <t>กว้าง 3 เมตร</t>
    </r>
  </si>
  <si>
    <t xml:space="preserve">H2701 </t>
  </si>
  <si>
    <t>ใบเงิน</t>
  </si>
  <si>
    <t>AUROSUN</t>
  </si>
  <si>
    <t>RB04 ทึบแสงเปลือกไข่</t>
  </si>
  <si>
    <t>RFH2703</t>
  </si>
  <si>
    <t xml:space="preserve">H2703 </t>
  </si>
  <si>
    <t>ใบทอง</t>
  </si>
  <si>
    <t>RB05 ทึบแสงกากี</t>
  </si>
  <si>
    <t>RFH2704</t>
  </si>
  <si>
    <t xml:space="preserve">H2704 </t>
  </si>
  <si>
    <t>ใบฟ้า</t>
  </si>
  <si>
    <t>RB06 ทึบแสงทราย</t>
  </si>
  <si>
    <t>RFH2705</t>
  </si>
  <si>
    <t xml:space="preserve">H2705 </t>
  </si>
  <si>
    <t>ใบน้ำตาล</t>
  </si>
  <si>
    <t>RB07 ทึบแสงโกโก้</t>
  </si>
  <si>
    <t xml:space="preserve">H2707 </t>
  </si>
  <si>
    <t>ใบม่วง</t>
  </si>
  <si>
    <t>RB08 ทึบแสงเทา</t>
  </si>
  <si>
    <t>RB09 ทึบแสงน้ำเงินคราม</t>
  </si>
  <si>
    <t>RFH3000</t>
  </si>
  <si>
    <t xml:space="preserve">H3000 </t>
  </si>
  <si>
    <t>ไผ่ขาว</t>
  </si>
  <si>
    <t>RB10 ทึบแสงส้มอิฐ</t>
  </si>
  <si>
    <t>RFH3001</t>
  </si>
  <si>
    <t xml:space="preserve">H3001 </t>
  </si>
  <si>
    <t>RB11 ทึบแสงเขียวตอง</t>
  </si>
  <si>
    <t>RFH3002</t>
  </si>
  <si>
    <t xml:space="preserve">H3002 </t>
  </si>
  <si>
    <t>ไผ่เหลือง</t>
  </si>
  <si>
    <t>ดิมเอ้าท์</t>
  </si>
  <si>
    <t>TM-5121</t>
  </si>
  <si>
    <t>RB18 ทึบแสงเทาอ่อน</t>
  </si>
  <si>
    <t>RFH3005</t>
  </si>
  <si>
    <t xml:space="preserve">H3005 </t>
  </si>
  <si>
    <t>TM-5122</t>
  </si>
  <si>
    <t xml:space="preserve">H3006 </t>
  </si>
  <si>
    <t>ไผ่ฟ้า</t>
  </si>
  <si>
    <t>TM-5123</t>
  </si>
  <si>
    <t>RZB01</t>
  </si>
  <si>
    <t>ซันสกรีนทึบแสงขาว</t>
  </si>
  <si>
    <t xml:space="preserve">H3007 </t>
  </si>
  <si>
    <t>ไผ่ม่วง</t>
  </si>
  <si>
    <t>TM-5124</t>
  </si>
  <si>
    <t>RZB02 ซันสกรีนทึบแสงครีม</t>
  </si>
  <si>
    <t>TM-5101</t>
  </si>
  <si>
    <t>RZB03 ซันสกรีนทึบแสงเทา</t>
  </si>
  <si>
    <t>RFH0301</t>
  </si>
  <si>
    <t xml:space="preserve">H0301 </t>
  </si>
  <si>
    <t>บัวเงิน</t>
  </si>
  <si>
    <t>TM-5103</t>
  </si>
  <si>
    <t>RFH0302</t>
  </si>
  <si>
    <t xml:space="preserve">H0302 </t>
  </si>
  <si>
    <t>บัวทอง</t>
  </si>
  <si>
    <t>TM-5104</t>
  </si>
  <si>
    <t>RSX01 โครเชต์-ขาว</t>
  </si>
  <si>
    <t>RSX02 โครเชต์-ครีม</t>
  </si>
  <si>
    <t>RFH0602</t>
  </si>
  <si>
    <t xml:space="preserve">H0602 </t>
  </si>
  <si>
    <t>พลุทอง</t>
  </si>
  <si>
    <t>RSX03 โครเชต์-เทา</t>
  </si>
  <si>
    <t>RFH0605</t>
  </si>
  <si>
    <t xml:space="preserve">H0605 </t>
  </si>
  <si>
    <t>พลุฟ้า</t>
  </si>
  <si>
    <t>RSB01 ซิปเปอร์ขาว</t>
  </si>
  <si>
    <t>RFH</t>
  </si>
  <si>
    <t xml:space="preserve">H4300 </t>
  </si>
  <si>
    <t>ไหมขาว</t>
  </si>
  <si>
    <t>RSB02 ซิปเปอร์ครีม</t>
  </si>
  <si>
    <t xml:space="preserve">H4305 </t>
  </si>
  <si>
    <t>ไหมน้ำตาล</t>
  </si>
  <si>
    <t>RSB03 ซิปเปอร์เทา</t>
  </si>
  <si>
    <t xml:space="preserve">H4306 </t>
  </si>
  <si>
    <t>ไหมเทา</t>
  </si>
  <si>
    <t xml:space="preserve">H4307 </t>
  </si>
  <si>
    <t>ไหมม่วง</t>
  </si>
  <si>
    <t>SOLIX</t>
  </si>
  <si>
    <t>TML-5161</t>
  </si>
  <si>
    <t>RLS02 มัดหมี่แอนติค</t>
  </si>
  <si>
    <t>TML-5162</t>
  </si>
  <si>
    <t>RLS07 มัดหมี่ทอง</t>
  </si>
  <si>
    <t>RFA0803</t>
  </si>
  <si>
    <t>ฝ้ายทึบแสงน้ำตาล</t>
  </si>
  <si>
    <t>TML-5163</t>
  </si>
  <si>
    <t>RLS08 มัดหมี่น้ำตาล</t>
  </si>
  <si>
    <t>RFA0805</t>
  </si>
  <si>
    <t>ฝ้ายทึบแสงเลือดหมู</t>
  </si>
  <si>
    <t>TML-5164</t>
  </si>
  <si>
    <t>TML-5165</t>
  </si>
  <si>
    <t>RS01 ซันสกรีนขาว</t>
  </si>
  <si>
    <t>RFG0302</t>
  </si>
  <si>
    <t>G03-002</t>
  </si>
  <si>
    <t>เสื่อครีม</t>
  </si>
  <si>
    <t>เดิม 90 ซม.</t>
  </si>
  <si>
    <t>RS02 ซันสกรีนครีม</t>
  </si>
  <si>
    <t>RFG0307</t>
  </si>
  <si>
    <t>G03-007</t>
  </si>
  <si>
    <t>เสื่อน้ำตาล</t>
  </si>
  <si>
    <t>FL0021</t>
  </si>
  <si>
    <t>RS03 ซันสกรีนเทา</t>
  </si>
  <si>
    <t>FL0024</t>
  </si>
  <si>
    <t>RS09 ซันสกรีนเขียวเข้ม</t>
  </si>
  <si>
    <t>RFJS01</t>
  </si>
  <si>
    <t>JSS-RS01</t>
  </si>
  <si>
    <t>มุ้งลวดขาว</t>
  </si>
  <si>
    <t>RS10 ซันสกรีนเขียวอ่อน</t>
  </si>
  <si>
    <t>RFJS02</t>
  </si>
  <si>
    <t>JSS-RS02</t>
  </si>
  <si>
    <t>มุ้งลวดครีม</t>
  </si>
  <si>
    <t>RSP501</t>
  </si>
  <si>
    <t>RS21 ซันสกรีนดำ</t>
  </si>
  <si>
    <t>RFJS03</t>
  </si>
  <si>
    <t>JSS-RS03</t>
  </si>
  <si>
    <t>มุ้งลวดเทา</t>
  </si>
  <si>
    <t>RSP502</t>
  </si>
  <si>
    <t>RS32 ซันสกรีนน้ำตาลเข้ม</t>
  </si>
  <si>
    <t>RFJS07</t>
  </si>
  <si>
    <t>JSS-3007</t>
  </si>
  <si>
    <t>มุ้งลวดม่วง</t>
  </si>
  <si>
    <t>RSP503</t>
  </si>
  <si>
    <t>RS34 ซันสกรีนเขียวน้ำทะเล</t>
  </si>
  <si>
    <t>RSP504</t>
  </si>
  <si>
    <t>RS46 ซันสกรีนเทาอ่อน</t>
  </si>
  <si>
    <t>RSP505</t>
  </si>
  <si>
    <t>🔥</t>
  </si>
  <si>
    <t>RBP3901</t>
  </si>
  <si>
    <t>ผ้าใบครีมอ่อน</t>
  </si>
  <si>
    <t>RSP506</t>
  </si>
  <si>
    <t>3% 1001</t>
  </si>
  <si>
    <t>RSP301</t>
  </si>
  <si>
    <t>ซันสกรีนขาว</t>
  </si>
  <si>
    <t>RBP3902</t>
  </si>
  <si>
    <t>ผ้าใบครีม</t>
  </si>
  <si>
    <t>RSP509</t>
  </si>
  <si>
    <t>3% 1002</t>
  </si>
  <si>
    <t>RSP302</t>
  </si>
  <si>
    <t>ซันสกรีนครีม</t>
  </si>
  <si>
    <t>RBP3903</t>
  </si>
  <si>
    <t>ผ้าใบกากี</t>
  </si>
  <si>
    <t>RSP510</t>
  </si>
  <si>
    <t xml:space="preserve">3% 1003 </t>
  </si>
  <si>
    <t>RSP303</t>
  </si>
  <si>
    <t>ซันสกรีนเทา</t>
  </si>
  <si>
    <t>RBP3908</t>
  </si>
  <si>
    <t>ผ้าใบเทาอ่อน</t>
  </si>
  <si>
    <t>RSP511</t>
  </si>
  <si>
    <t>RSP311</t>
  </si>
  <si>
    <t>ซันสกรีนเทาเข้ม</t>
  </si>
  <si>
    <t xml:space="preserve">RBP3909 </t>
  </si>
  <si>
    <t>ผ้าใบขาว</t>
  </si>
  <si>
    <t>RSP512</t>
  </si>
  <si>
    <t>เหมือน  RS 46</t>
  </si>
  <si>
    <t>1003-3%</t>
  </si>
  <si>
    <t>ซันสกรีนเทาอ่อน</t>
  </si>
  <si>
    <t>RBP3910</t>
  </si>
  <si>
    <t>5+3</t>
  </si>
  <si>
    <t>ผ้าใบเทา</t>
  </si>
  <si>
    <t>RBP3912</t>
  </si>
  <si>
    <t>ผ้าใบดำ</t>
  </si>
  <si>
    <t>RBP3913</t>
  </si>
  <si>
    <t>ผ้าใบเทาฟ้า</t>
  </si>
  <si>
    <t>VAL-61（H0101FWLS)</t>
  </si>
  <si>
    <t>RBP3911</t>
  </si>
  <si>
    <t>ผ้าใบดำเทา</t>
  </si>
  <si>
    <t>VAL-62（H0102FWLS)</t>
  </si>
  <si>
    <t>RBP3914</t>
  </si>
  <si>
    <t>ผ้าใบน้ำเงิน</t>
  </si>
  <si>
    <t>VAL-63（H0103FWLS)</t>
  </si>
  <si>
    <t>FI004</t>
  </si>
  <si>
    <t>ผ้าบางเทา</t>
  </si>
  <si>
    <t>VAL-64（H0104FWLS)</t>
  </si>
  <si>
    <t>RBP01</t>
  </si>
  <si>
    <t>ผ้าโปร่ง</t>
  </si>
  <si>
    <t>VAL-65（H0105FWLS)</t>
  </si>
  <si>
    <t>เช็คล่าสุด 13/7/2024</t>
  </si>
  <si>
    <t>เช็คล่าสุด 21/12/2024</t>
  </si>
  <si>
    <t xml:space="preserve">                                                                                                                                                                                                                              </t>
  </si>
  <si>
    <t>ผ้าสีน้ำเงิน (ผ้าบาง)</t>
  </si>
  <si>
    <t>RBP14</t>
  </si>
  <si>
    <t>ฉากอลูมิเนียม</t>
  </si>
  <si>
    <t>เช็ค 15/11/2024</t>
  </si>
  <si>
    <t>Full Panel---ใบฉาก 200 mm.</t>
  </si>
  <si>
    <t>400 m.</t>
  </si>
  <si>
    <t>Full Panel---ใบฉาก 250 mm.</t>
  </si>
  <si>
    <t>Bar---ตัวยึดกระจก</t>
  </si>
  <si>
    <t>Side panel---เสาหน้า</t>
  </si>
  <si>
    <t>Hinge---ไส้</t>
  </si>
  <si>
    <t>Hinge pc---เสาข้าง</t>
  </si>
  <si>
    <t>U Track--ราง</t>
  </si>
  <si>
    <t>600 m.</t>
  </si>
  <si>
    <t>Lock Frame 1---ตัวยู</t>
  </si>
  <si>
    <t>Wall connector---ใบท้าย</t>
  </si>
  <si>
    <t>PC---กระจก 25 mm.</t>
  </si>
  <si>
    <t>PC---กระจก 20 mm.</t>
  </si>
  <si>
    <t>Gasket---แหวนรองไส้</t>
  </si>
  <si>
    <t>Latch---กลอนสลัก</t>
  </si>
  <si>
    <t>Dust Protector</t>
  </si>
  <si>
    <t>Roller---ล้อ</t>
  </si>
  <si>
    <t>Lock---กุญแจ</t>
  </si>
  <si>
    <t>Handle---มือจับ</t>
  </si>
  <si>
    <t>Screw---น็อต</t>
  </si>
  <si>
    <t>ฉากรุ่น ลามิเนต</t>
  </si>
  <si>
    <t>ใบฉาก : Full Panel 110</t>
  </si>
  <si>
    <t>เสาตัวยู : END STRIP</t>
  </si>
  <si>
    <t>walnut</t>
  </si>
  <si>
    <t>Oak</t>
  </si>
  <si>
    <t>Ebony</t>
  </si>
  <si>
    <t xml:space="preserve">เสา Lead  Panel </t>
  </si>
  <si>
    <t>ใบเล็ก Half Panel</t>
  </si>
  <si>
    <t>ไส้ฉาก : Soft Hinge</t>
  </si>
  <si>
    <t>ใบท้าย FIX STRIP</t>
  </si>
  <si>
    <t>รางฉาก</t>
  </si>
  <si>
    <t>มือจับ</t>
  </si>
  <si>
    <t>ใบฉาก  *ไม่ได้ใช้ * สีเข้ม กล่องแบน</t>
  </si>
  <si>
    <t>เสาข้างกระจก *ไม่ได้ใช้ *สีเข้ม  กล่องแบน</t>
  </si>
  <si>
    <t>50/มัด</t>
  </si>
  <si>
    <t>เช็ค 9/6/2025</t>
  </si>
  <si>
    <t>ใบฉาก Full Panel
10CM - FULL PANEL</t>
  </si>
  <si>
    <t>930(เงา)</t>
  </si>
  <si>
    <t>เสา side panel with magn</t>
  </si>
  <si>
    <t>930A(เงา)</t>
  </si>
  <si>
    <t>ใบท้าย  Side Frame(Fix End)</t>
  </si>
  <si>
    <t xml:space="preserve">ไส้ฉาก : Flex Hinge /Soft Hinge </t>
  </si>
  <si>
    <t>น็อต</t>
  </si>
  <si>
    <t>ใบเล็ก : Half Panel</t>
  </si>
  <si>
    <t>ของเข้า 15/11/67 + 16/11/67</t>
  </si>
  <si>
    <t>ของเข้า 19/6/2025   ใบฉาก 930A</t>
  </si>
  <si>
    <t>/</t>
  </si>
  <si>
    <t>🌞🌞🌞</t>
  </si>
  <si>
    <t>ของเข้า 12/10/65+15/11/65+23/11/65+4/8/66</t>
  </si>
  <si>
    <t>🚛 = กำลังเดินทางมา (SH)</t>
  </si>
  <si>
    <t>ใบฉาก : Full Panel - 主板</t>
  </si>
  <si>
    <t>เสาตัวยู : END STRIP/Door Strip</t>
  </si>
  <si>
    <t>927🐸</t>
  </si>
  <si>
    <t>927 🌝</t>
  </si>
  <si>
    <t>928🚚</t>
  </si>
  <si>
    <t>928🐸</t>
  </si>
  <si>
    <t>928🌝</t>
  </si>
  <si>
    <t>931A🚛</t>
  </si>
  <si>
    <t>932A🚛</t>
  </si>
  <si>
    <t>934 (SH)</t>
  </si>
  <si>
    <t>935🚛</t>
  </si>
  <si>
    <t>เช็คล่าสุด 7/9/2024</t>
  </si>
  <si>
    <t>เช็คล่าสุด 26/12/2024</t>
  </si>
  <si>
    <t>งานส่ง 17/10  930 ขนาด 240 =31ใบ</t>
  </si>
  <si>
    <t>เสา Lead Edge Panel (side panel)</t>
  </si>
  <si>
    <t>ใบท้าย FIX STRIP /Side Frame</t>
  </si>
  <si>
    <t>927 🚚</t>
  </si>
  <si>
    <t xml:space="preserve">                          </t>
  </si>
  <si>
    <t>ไส้ฉาก : Flex Hinge /Soft Hinge / 连接条</t>
  </si>
  <si>
    <t>มือจับฉาก (กล่อง) - ตู้ 10 - 150 ชิ้น / กล่อง</t>
  </si>
  <si>
    <t>RED</t>
  </si>
  <si>
    <t>928🚛</t>
  </si>
  <si>
    <t>มือจับเช็ค 14/2/2024</t>
  </si>
  <si>
    <t xml:space="preserve">แบบใหญ่ </t>
  </si>
  <si>
    <t>250/ถุง</t>
  </si>
  <si>
    <t>กระจกฉาก (กล่อง)</t>
  </si>
  <si>
    <t>ตู้ 10</t>
  </si>
  <si>
    <t>กรอบกระจก(กล่อง)</t>
  </si>
  <si>
    <t>คลื่น</t>
  </si>
  <si>
    <t>เมเปิ้ล</t>
  </si>
  <si>
    <t>ไผ่</t>
  </si>
  <si>
    <t>แม่เหล็ก</t>
  </si>
  <si>
    <t>ลูกล้อ</t>
  </si>
  <si>
    <t>เหล็กหัวเสา</t>
  </si>
  <si>
    <t>หมุด</t>
  </si>
  <si>
    <t>2 ด้าน</t>
  </si>
  <si>
    <t>1 ด้าน</t>
  </si>
  <si>
    <t>ไส้ที่ใช้ไม่ได้  ขนาด 280 ซม.  0 เส้น    ขนาด 330 ซม.  0 เส้น</t>
  </si>
  <si>
    <t>มา 3/9/68</t>
  </si>
  <si>
    <t>ใบเล็ก:HALF PANEL</t>
  </si>
  <si>
    <t>ใบฉาก : Full Panel 11 ซม.</t>
  </si>
  <si>
    <t>อะไหล่ 11 ซม - สี 928</t>
  </si>
  <si>
    <t>เสา</t>
  </si>
  <si>
    <t>ตัวยู</t>
  </si>
  <si>
    <t>ใบท้าย</t>
  </si>
  <si>
    <t>ใบเล็ก</t>
  </si>
  <si>
    <t>รางฉากยูโร ของเข้า 28/1/2025</t>
  </si>
  <si>
    <t>สีเทา</t>
  </si>
  <si>
    <t>สีชา</t>
  </si>
  <si>
    <t>เช็คล่าสุด 5/6/2023</t>
  </si>
  <si>
    <t>เข้า 14/12/2023</t>
  </si>
  <si>
    <t>เช็คล่าสุด 1/2/67</t>
  </si>
  <si>
    <t>เข้า 8/2/2024</t>
  </si>
  <si>
    <t>เช็คล่าสุด 26/6/2024</t>
  </si>
  <si>
    <t>เข้า 22/2/2024</t>
  </si>
  <si>
    <t>เข้า 2/4/2024</t>
  </si>
  <si>
    <t>-------------------------------------------------+++++++++++++++++++++++++++++++++++++++++++++++++++++++++++++++++++++++++++++++++++++++++++++++++++++++++++++++++++++++++</t>
  </si>
  <si>
    <t>เข้า 11/4/2024</t>
  </si>
  <si>
    <t>เข้า 23/4/2024</t>
  </si>
  <si>
    <t>เข้า 10/5/2024</t>
  </si>
  <si>
    <t>เข้า 16/5/2024</t>
  </si>
  <si>
    <t>เข้า 5/6/2024</t>
  </si>
  <si>
    <t>เข้า 2/7/2024</t>
  </si>
  <si>
    <t>เข้า 3/7/2024</t>
  </si>
  <si>
    <t>เข้า 16/10/2024</t>
  </si>
  <si>
    <t>เข้า 6/12/2024</t>
  </si>
  <si>
    <t>เข้า 17/1/2025</t>
  </si>
  <si>
    <t>เข้า 30/1/2025</t>
  </si>
  <si>
    <t>เข้า 3/5/2025</t>
  </si>
  <si>
    <t>เข้า 19/6/2025</t>
  </si>
  <si>
    <t>Code</t>
  </si>
</sst>
</file>

<file path=xl/styles.xml><?xml version="1.0" encoding="utf-8"?>
<styleSheet xmlns="http://schemas.openxmlformats.org/spreadsheetml/2006/main">
  <numFmts count="3">
    <numFmt numFmtId="0" formatCode="General"/>
    <numFmt numFmtId="3" formatCode="#,##0"/>
    <numFmt numFmtId="164" formatCode="m-d"/>
  </numFmts>
  <fonts count="21">
    <font>
      <name val="Arial"/>
      <sz val="10"/>
    </font>
    <font>
      <name val="Arial"/>
      <sz val="10"/>
      <color rgb="FF000000"/>
    </font>
    <font>
      <name val="Arial"/>
      <b/>
      <sz val="16"/>
      <color rgb="FFFF0000"/>
    </font>
    <font>
      <name val="Arial"/>
      <sz val="10"/>
      <color rgb="FF000000"/>
    </font>
    <font>
      <name val="Arial"/>
      <b/>
      <sz val="16"/>
      <color rgb="FF000000"/>
    </font>
    <font>
      <name val="Arial"/>
      <b/>
      <sz val="18"/>
      <color rgb="FF000000"/>
    </font>
    <font>
      <name val="Arial"/>
      <sz val="16"/>
      <color rgb="FF000000"/>
    </font>
    <font>
      <name val="Arial"/>
      <sz val="16"/>
      <color rgb="FF000000"/>
    </font>
    <font>
      <name val="Arial"/>
      <sz val="18"/>
      <color rgb="FF000000"/>
    </font>
    <font>
      <name val="Arial"/>
      <sz val="14"/>
      <color rgb="FF000000"/>
    </font>
    <font>
      <name val="Arial"/>
      <sz val="15"/>
      <color rgb="FF000000"/>
    </font>
    <font>
      <name val="Arial"/>
      <b/>
      <sz val="15"/>
      <color rgb="FF000000"/>
    </font>
    <font>
      <name val="Arial"/>
      <sz val="10"/>
      <color rgb="FF000000"/>
    </font>
    <font>
      <name val="Arial"/>
      <sz val="13"/>
      <color rgb="FF000000"/>
    </font>
    <font>
      <name val="Arial"/>
      <sz val="16"/>
      <color rgb="FFC00000"/>
    </font>
    <font>
      <name val="Arial"/>
      <sz val="16"/>
      <color rgb="FFFF0000"/>
    </font>
    <font>
      <name val="Arial"/>
      <b/>
      <sz val="16"/>
      <color rgb="FF000000"/>
    </font>
    <font>
      <name val="Arial"/>
      <sz val="12"/>
      <color rgb="FF000000"/>
    </font>
    <font>
      <name val="Arial"/>
      <sz val="19"/>
      <color rgb="FF000000"/>
    </font>
    <font>
      <name val="Arial"/>
      <sz val="17"/>
      <color rgb="FF000000"/>
    </font>
    <font>
      <name val="Arial"/>
      <b/>
      <sz val="17"/>
      <color rgb="FF000000"/>
    </font>
  </fonts>
  <fills count="18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  <fill>
      <patternFill patternType="solid">
        <fgColor rgb="FFFF9900"/>
        <bgColor rgb="FFFF9900"/>
      </patternFill>
    </fill>
    <fill>
      <patternFill patternType="solid">
        <fgColor rgb="FFA6A6A6"/>
        <bgColor rgb="FFA6A6A6"/>
      </patternFill>
    </fill>
    <fill>
      <patternFill patternType="solid">
        <fgColor rgb="FFFFF2CC"/>
        <bgColor rgb="FFFFF2CC"/>
      </patternFill>
    </fill>
    <fill>
      <patternFill patternType="solid">
        <fgColor rgb="FFD9D9D9"/>
        <bgColor rgb="FFD9D9D9"/>
      </patternFill>
    </fill>
    <fill>
      <patternFill patternType="solid">
        <fgColor rgb="FFF9CB9C"/>
        <bgColor rgb="FFF9CB9C"/>
      </patternFill>
    </fill>
    <fill>
      <patternFill patternType="solid">
        <fgColor rgb="FFEA9999"/>
        <bgColor rgb="FFEA9999"/>
      </patternFill>
    </fill>
    <fill>
      <patternFill patternType="solid">
        <fgColor rgb="FFFFE599"/>
        <bgColor rgb="FFFFE599"/>
      </patternFill>
    </fill>
    <fill>
      <patternFill patternType="solid">
        <fgColor rgb="FFCCCCCC"/>
        <bgColor rgb="FFCCCCCC"/>
      </patternFill>
    </fill>
    <fill>
      <patternFill patternType="solid">
        <fgColor rgb="FFB6D7A8"/>
        <bgColor rgb="FFB6D7A8"/>
      </patternFill>
    </fill>
    <fill>
      <patternFill patternType="solid">
        <fgColor rgb="FF00B0F0"/>
        <bgColor rgb="FF00B0F0"/>
      </patternFill>
    </fill>
    <fill>
      <patternFill patternType="solid">
        <fgColor rgb="FF000000"/>
        <bgColor rgb="FF000000"/>
      </patternFill>
    </fill>
    <fill>
      <patternFill patternType="solid">
        <fgColor rgb="FFEFEFEF"/>
        <bgColor rgb="FFEFEFEF"/>
      </patternFill>
    </fill>
    <fill>
      <patternFill patternType="solid">
        <fgColor rgb="FFB7B7B7"/>
        <bgColor rgb="FFB7B7B7"/>
      </patternFill>
    </fill>
    <fill>
      <patternFill patternType="solid">
        <fgColor rgb="FFF3F3F3"/>
        <bgColor rgb="FFF3F3F3"/>
      </patternFill>
    </fill>
  </fills>
  <borders count="51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ck">
        <color rgb="FF000000"/>
      </left>
      <right style="thick">
        <color rgb="FF000000"/>
      </right>
      <top style="thick">
        <color rgb="FF000000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ck">
        <color rgb="FF000000"/>
      </left>
      <right style="thick">
        <color rgb="FF000000"/>
      </right>
      <top/>
      <bottom/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ck">
        <color rgb="FF000000"/>
      </right>
      <top/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/>
      <top style="thick">
        <color rgb="FF000000"/>
      </top>
      <bottom style="thin">
        <color rgb="FF000000"/>
      </bottom>
      <diagonal/>
    </border>
    <border>
      <left style="thick">
        <color rgb="FF000000"/>
      </left>
      <right/>
      <top style="thick">
        <color rgb="FF000000"/>
      </top>
      <bottom/>
      <diagonal/>
    </border>
    <border>
      <left style="thin">
        <color rgb="FF000000"/>
      </left>
      <right/>
      <top style="thick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ck">
        <color rgb="FF000000"/>
      </right>
      <top style="thin">
        <color rgb="FF000000"/>
      </top>
      <bottom/>
      <diagonal/>
    </border>
    <border>
      <left style="thick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thick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ck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>
      <alignment vertical="center"/>
    </xf>
  </cellStyleXfs>
  <cellXfs count="251">
    <xf numFmtId="0" fontId="0" fillId="0" borderId="0" xfId="0">
      <alignment vertical="center"/>
    </xf>
    <xf numFmtId="0" fontId="1" fillId="2" borderId="0" xfId="0" applyFont="1" applyAlignment="1">
      <alignment vertical="bottom"/>
    </xf>
    <xf numFmtId="0" fontId="2" fillId="2" borderId="0" xfId="0" applyFont="1" applyAlignment="1">
      <alignment vertical="bottom"/>
    </xf>
    <xf numFmtId="0" fontId="3" fillId="2" borderId="0" xfId="0" applyFont="1" applyAlignment="1">
      <alignment vertical="bottom"/>
    </xf>
    <xf numFmtId="0" fontId="3" fillId="2" borderId="0" xfId="0" applyFont="1" applyAlignment="1">
      <alignment horizontal="center" vertical="bottom"/>
    </xf>
    <xf numFmtId="0" fontId="3" fillId="2" borderId="0" xfId="0" applyFont="1" applyAlignment="1">
      <alignment horizontal="left" vertical="bottom"/>
    </xf>
    <xf numFmtId="0" fontId="4" fillId="3" borderId="0" xfId="0" applyFont="1" applyAlignment="1">
      <alignment vertical="bottom"/>
    </xf>
    <xf numFmtId="0" fontId="5" fillId="3" borderId="0" xfId="0" applyFont="1" applyAlignment="1">
      <alignment horizontal="center" vertical="bottom"/>
    </xf>
    <xf numFmtId="0" fontId="6" fillId="2" borderId="0" xfId="0" applyFont="1" applyAlignment="1">
      <alignment horizontal="center" vertical="bottom"/>
    </xf>
    <xf numFmtId="0" fontId="6" fillId="2" borderId="0" xfId="0" applyFont="1" applyAlignment="1">
      <alignment horizontal="left" vertical="bottom"/>
    </xf>
    <xf numFmtId="0" fontId="6" fillId="2" borderId="0" xfId="0" applyFont="1" applyAlignment="1">
      <alignment vertical="bottom"/>
    </xf>
    <xf numFmtId="0" fontId="7" fillId="0" borderId="0" xfId="0" applyFont="1" applyAlignment="1">
      <alignment vertical="bottom"/>
    </xf>
    <xf numFmtId="0" fontId="6" fillId="2" borderId="0" xfId="0" applyFont="1" applyAlignment="1">
      <alignment vertical="bottom"/>
    </xf>
    <xf numFmtId="0" fontId="8" fillId="4" borderId="1" xfId="0" applyFont="1" applyFill="1" applyBorder="1" applyAlignment="1">
      <alignment horizontal="center" vertical="bottom"/>
    </xf>
    <xf numFmtId="0" fontId="6" fillId="5" borderId="1" xfId="0" applyFont="1" applyFill="1" applyBorder="1" applyAlignment="1">
      <alignment horizontal="center" vertical="bottom"/>
    </xf>
    <xf numFmtId="0" fontId="6" fillId="5" borderId="2" xfId="0" applyFont="1" applyBorder="1" applyAlignment="1">
      <alignment horizontal="center" vertical="bottom"/>
    </xf>
    <xf numFmtId="0" fontId="9" fillId="5" borderId="2" xfId="0" applyFont="1" applyBorder="1" applyAlignment="1">
      <alignment horizontal="center" vertical="bottom"/>
    </xf>
    <xf numFmtId="0" fontId="6" fillId="5" borderId="2" xfId="0" applyFont="1" applyBorder="1" applyAlignment="1">
      <alignment horizontal="center" vertical="bottom"/>
    </xf>
    <xf numFmtId="0" fontId="9" fillId="5" borderId="3" xfId="0" applyFont="1" applyBorder="1" applyAlignment="1">
      <alignment horizontal="center" vertical="bottom"/>
    </xf>
    <xf numFmtId="0" fontId="6" fillId="5" borderId="4" xfId="0" applyFont="1" applyBorder="1" applyAlignment="1">
      <alignment horizontal="center" vertical="bottom"/>
    </xf>
    <xf numFmtId="0" fontId="4" fillId="6" borderId="5" xfId="0" applyFont="1" applyFill="1" applyBorder="1" applyAlignment="1">
      <alignment horizontal="center" vertical="bottom"/>
    </xf>
    <xf numFmtId="0" fontId="6" fillId="2" borderId="5" xfId="0" applyFont="1" applyBorder="1" applyAlignment="1">
      <alignment horizontal="center" vertical="bottom"/>
    </xf>
    <xf numFmtId="0" fontId="6" fillId="5" borderId="0" xfId="0" applyFont="1" applyAlignment="1">
      <alignment horizontal="center" vertical="bottom"/>
    </xf>
    <xf numFmtId="3" fontId="6" fillId="2" borderId="0" xfId="0" applyNumberFormat="1" applyFont="1" applyAlignment="1">
      <alignment horizontal="center" vertical="bottom"/>
    </xf>
    <xf numFmtId="0" fontId="6" fillId="3" borderId="0" xfId="0" applyFont="1" applyAlignment="1">
      <alignment horizontal="center" vertical="bottom"/>
    </xf>
    <xf numFmtId="3" fontId="6" fillId="3" borderId="0" xfId="0" applyNumberFormat="1" applyFont="1" applyAlignment="1">
      <alignment horizontal="center" vertical="bottom"/>
    </xf>
    <xf numFmtId="0" fontId="6" fillId="2" borderId="6" xfId="0" applyFont="1" applyBorder="1" applyAlignment="1">
      <alignment horizontal="center" vertical="bottom"/>
    </xf>
    <xf numFmtId="0" fontId="6" fillId="5" borderId="7" xfId="0" applyFont="1" applyBorder="1" applyAlignment="1">
      <alignment horizontal="center" vertical="bottom"/>
    </xf>
    <xf numFmtId="0" fontId="4" fillId="2" borderId="5" xfId="0" applyFont="1" applyBorder="1" applyAlignment="1">
      <alignment horizontal="center" vertical="bottom"/>
    </xf>
    <xf numFmtId="0" fontId="4" fillId="2" borderId="8" xfId="0" applyFont="1" applyBorder="1" applyAlignment="1">
      <alignment horizontal="center" vertical="bottom"/>
    </xf>
    <xf numFmtId="0" fontId="6" fillId="2" borderId="8" xfId="0" applyFont="1" applyBorder="1" applyAlignment="1">
      <alignment horizontal="center" vertical="bottom"/>
    </xf>
    <xf numFmtId="0" fontId="6" fillId="5" borderId="9" xfId="0" applyFont="1" applyBorder="1" applyAlignment="1">
      <alignment horizontal="center" vertical="bottom"/>
    </xf>
    <xf numFmtId="0" fontId="6" fillId="3" borderId="9" xfId="0" applyFont="1" applyBorder="1" applyAlignment="1">
      <alignment horizontal="center" vertical="bottom"/>
    </xf>
    <xf numFmtId="3" fontId="6" fillId="3" borderId="9" xfId="0" applyNumberFormat="1" applyFont="1" applyBorder="1" applyAlignment="1">
      <alignment horizontal="center" vertical="bottom"/>
    </xf>
    <xf numFmtId="0" fontId="6" fillId="2" borderId="10" xfId="0" applyFont="1" applyBorder="1" applyAlignment="1">
      <alignment horizontal="center" vertical="bottom"/>
    </xf>
    <xf numFmtId="0" fontId="6" fillId="5" borderId="11" xfId="0" applyFont="1" applyBorder="1" applyAlignment="1">
      <alignment horizontal="center" vertical="bottom"/>
    </xf>
    <xf numFmtId="0" fontId="8" fillId="4" borderId="12" xfId="0" applyFont="1" applyBorder="1" applyAlignment="1">
      <alignment horizontal="center" vertical="bottom"/>
    </xf>
    <xf numFmtId="0" fontId="6" fillId="5" borderId="13" xfId="0" applyFont="1" applyBorder="1" applyAlignment="1">
      <alignment horizontal="center" vertical="bottom"/>
    </xf>
    <xf numFmtId="0" fontId="6" fillId="5" borderId="14" xfId="0" applyFont="1" applyBorder="1" applyAlignment="1">
      <alignment horizontal="center" vertical="bottom"/>
    </xf>
    <xf numFmtId="0" fontId="6" fillId="5" borderId="15" xfId="0" applyFont="1" applyBorder="1" applyAlignment="1">
      <alignment horizontal="center" vertical="bottom"/>
    </xf>
    <xf numFmtId="0" fontId="6" fillId="5" borderId="15" xfId="0" applyFont="1" applyBorder="1" applyAlignment="1">
      <alignment horizontal="center" vertical="bottom"/>
    </xf>
    <xf numFmtId="0" fontId="10" fillId="7" borderId="15" xfId="0" applyFont="1" applyBorder="1" applyAlignment="1">
      <alignment horizontal="center" vertical="bottom"/>
    </xf>
    <xf numFmtId="0" fontId="9" fillId="5" borderId="15" xfId="0" applyFont="1" applyBorder="1" applyAlignment="1">
      <alignment horizontal="center" vertical="bottom"/>
    </xf>
    <xf numFmtId="0" fontId="6" fillId="5" borderId="15" xfId="0" applyFont="1" applyBorder="1" applyAlignment="1">
      <alignment horizontal="center" vertical="bottom"/>
    </xf>
    <xf numFmtId="0" fontId="10" fillId="7" borderId="15" xfId="0" applyFont="1" applyBorder="1" applyAlignment="1">
      <alignment horizontal="center" vertical="bottom"/>
    </xf>
    <xf numFmtId="0" fontId="10" fillId="5" borderId="15" xfId="0" applyFont="1" applyBorder="1" applyAlignment="1">
      <alignment horizontal="center" vertical="bottom"/>
    </xf>
    <xf numFmtId="0" fontId="6" fillId="5" borderId="16" xfId="0" applyFont="1" applyBorder="1" applyAlignment="1">
      <alignment horizontal="center" vertical="bottom"/>
    </xf>
    <xf numFmtId="0" fontId="10" fillId="5" borderId="17" xfId="0" applyFont="1" applyBorder="1" applyAlignment="1">
      <alignment horizontal="center" vertical="bottom"/>
    </xf>
    <xf numFmtId="0" fontId="6" fillId="5" borderId="16" xfId="0" applyFont="1" applyBorder="1" applyAlignment="1">
      <alignment horizontal="center" vertical="bottom"/>
    </xf>
    <xf numFmtId="0" fontId="6" fillId="2" borderId="0" xfId="0" applyFont="1" applyAlignment="1">
      <alignment horizontal="center" vertical="bottom"/>
    </xf>
    <xf numFmtId="0" fontId="4" fillId="2" borderId="18" xfId="0" applyFont="1" applyBorder="1" applyAlignment="1">
      <alignment horizontal="center" vertical="bottom"/>
    </xf>
    <xf numFmtId="0" fontId="6" fillId="2" borderId="13" xfId="0" applyFont="1" applyBorder="1" applyAlignment="1">
      <alignment horizontal="center" vertical="bottom"/>
    </xf>
    <xf numFmtId="0" fontId="6" fillId="3" borderId="19" xfId="0" applyFont="1" applyBorder="1" applyAlignment="1">
      <alignment horizontal="center" vertical="bottom"/>
    </xf>
    <xf numFmtId="0" fontId="6" fillId="3" borderId="20" xfId="0" applyFont="1" applyBorder="1" applyAlignment="1">
      <alignment horizontal="center" vertical="bottom"/>
    </xf>
    <xf numFmtId="0" fontId="6" fillId="7" borderId="20" xfId="0" applyFont="1" applyBorder="1" applyAlignment="1">
      <alignment horizontal="center" vertical="bottom"/>
    </xf>
    <xf numFmtId="3" fontId="6" fillId="3" borderId="20" xfId="0" applyNumberFormat="1" applyFont="1" applyBorder="1" applyAlignment="1">
      <alignment horizontal="center" vertical="bottom"/>
    </xf>
    <xf numFmtId="3" fontId="6" fillId="3" borderId="21" xfId="0" applyNumberFormat="1" applyFont="1" applyBorder="1" applyAlignment="1">
      <alignment horizontal="center" vertical="bottom"/>
    </xf>
    <xf numFmtId="164" fontId="6" fillId="3" borderId="22" xfId="0" applyNumberFormat="1" applyFont="1" applyBorder="1" applyAlignment="1">
      <alignment horizontal="center" vertical="bottom"/>
    </xf>
    <xf numFmtId="0" fontId="6" fillId="3" borderId="21" xfId="0" applyFont="1" applyBorder="1" applyAlignment="1">
      <alignment horizontal="center" vertical="bottom"/>
    </xf>
    <xf numFmtId="0" fontId="6" fillId="6" borderId="0" xfId="0" applyFont="1" applyAlignment="1">
      <alignment vertical="bottom"/>
    </xf>
    <xf numFmtId="0" fontId="4" fillId="6" borderId="18" xfId="0" applyFont="1" applyBorder="1" applyAlignment="1">
      <alignment horizontal="center" vertical="bottom"/>
    </xf>
    <xf numFmtId="0" fontId="6" fillId="2" borderId="19" xfId="0" applyFont="1" applyBorder="1" applyAlignment="1">
      <alignment horizontal="center" vertical="bottom"/>
    </xf>
    <xf numFmtId="3" fontId="6" fillId="2" borderId="20" xfId="0" applyNumberFormat="1" applyFont="1" applyBorder="1" applyAlignment="1">
      <alignment horizontal="center" vertical="bottom"/>
    </xf>
    <xf numFmtId="0" fontId="6" fillId="2" borderId="20" xfId="0" applyFont="1" applyBorder="1" applyAlignment="1">
      <alignment horizontal="center" vertical="bottom"/>
    </xf>
    <xf numFmtId="0" fontId="6" fillId="2" borderId="22" xfId="0" applyFont="1" applyBorder="1" applyAlignment="1">
      <alignment horizontal="center" vertical="bottom"/>
    </xf>
    <xf numFmtId="0" fontId="6" fillId="2" borderId="21" xfId="0" applyFont="1" applyBorder="1" applyAlignment="1">
      <alignment horizontal="center" vertical="bottom"/>
    </xf>
    <xf numFmtId="0" fontId="11" fillId="6" borderId="18" xfId="0" applyFont="1" applyBorder="1" applyAlignment="1">
      <alignment horizontal="center" vertical="bottom"/>
    </xf>
    <xf numFmtId="0" fontId="6" fillId="3" borderId="22" xfId="0" applyFont="1" applyBorder="1" applyAlignment="1">
      <alignment horizontal="center" vertical="bottom"/>
    </xf>
    <xf numFmtId="0" fontId="6" fillId="8" borderId="0" xfId="0" applyFont="1" applyFill="1" applyAlignment="1">
      <alignment vertical="bottom"/>
    </xf>
    <xf numFmtId="0" fontId="4" fillId="8" borderId="18" xfId="0" applyFont="1" applyBorder="1" applyAlignment="1">
      <alignment horizontal="center" vertical="bottom"/>
    </xf>
    <xf numFmtId="3" fontId="6" fillId="2" borderId="21" xfId="0" applyNumberFormat="1" applyFont="1" applyBorder="1" applyAlignment="1">
      <alignment horizontal="center" vertical="bottom"/>
    </xf>
    <xf numFmtId="0" fontId="11" fillId="8" borderId="18" xfId="0" applyFont="1" applyBorder="1" applyAlignment="1">
      <alignment horizontal="center" vertical="bottom"/>
    </xf>
    <xf numFmtId="0" fontId="6" fillId="9" borderId="0" xfId="0" applyFont="1" applyFill="1" applyAlignment="1">
      <alignment vertical="bottom"/>
    </xf>
    <xf numFmtId="0" fontId="4" fillId="9" borderId="18" xfId="0" applyFont="1" applyBorder="1" applyAlignment="1">
      <alignment horizontal="center" vertical="bottom"/>
    </xf>
    <xf numFmtId="0" fontId="12" fillId="0" borderId="0" xfId="0" applyFont="1" applyAlignment="1">
      <alignment vertical="bottom"/>
    </xf>
    <xf numFmtId="0" fontId="4" fillId="3" borderId="18" xfId="0" applyFont="1" applyBorder="1" applyAlignment="1">
      <alignment horizontal="center" vertical="bottom"/>
    </xf>
    <xf numFmtId="0" fontId="6" fillId="10" borderId="0" xfId="0" applyFont="1" applyFill="1" applyAlignment="1">
      <alignment vertical="bottom"/>
    </xf>
    <xf numFmtId="0" fontId="4" fillId="10" borderId="18" xfId="0" applyFont="1" applyBorder="1" applyAlignment="1">
      <alignment horizontal="center" vertical="bottom"/>
    </xf>
    <xf numFmtId="0" fontId="11" fillId="10" borderId="23" xfId="0" applyFont="1" applyBorder="1" applyAlignment="1">
      <alignment horizontal="center" vertical="bottom"/>
    </xf>
    <xf numFmtId="0" fontId="6" fillId="3" borderId="24" xfId="0" applyFont="1" applyBorder="1" applyAlignment="1">
      <alignment horizontal="center" vertical="bottom"/>
    </xf>
    <xf numFmtId="0" fontId="6" fillId="3" borderId="25" xfId="0" applyFont="1" applyBorder="1" applyAlignment="1">
      <alignment horizontal="center" vertical="bottom"/>
    </xf>
    <xf numFmtId="0" fontId="6" fillId="7" borderId="25" xfId="0" applyFont="1" applyBorder="1" applyAlignment="1">
      <alignment horizontal="center" vertical="bottom"/>
    </xf>
    <xf numFmtId="3" fontId="6" fillId="3" borderId="26" xfId="0" applyNumberFormat="1" applyFont="1" applyBorder="1" applyAlignment="1">
      <alignment horizontal="center" vertical="bottom"/>
    </xf>
    <xf numFmtId="0" fontId="6" fillId="2" borderId="27" xfId="0" applyFont="1" applyBorder="1" applyAlignment="1">
      <alignment horizontal="center" vertical="bottom"/>
    </xf>
    <xf numFmtId="0" fontId="6" fillId="2" borderId="25" xfId="0" applyFont="1" applyBorder="1" applyAlignment="1">
      <alignment horizontal="center" vertical="bottom"/>
    </xf>
    <xf numFmtId="0" fontId="6" fillId="2" borderId="26" xfId="0" applyFont="1" applyBorder="1" applyAlignment="1">
      <alignment horizontal="center" vertical="bottom"/>
    </xf>
    <xf numFmtId="0" fontId="4" fillId="2" borderId="0" xfId="0" applyFont="1" applyAlignment="1">
      <alignment vertical="bottom"/>
    </xf>
    <xf numFmtId="0" fontId="7" fillId="0" borderId="0" xfId="0" applyFont="1" applyAlignment="1">
      <alignment horizontal="center" vertical="bottom"/>
    </xf>
    <xf numFmtId="0" fontId="6" fillId="5" borderId="28" xfId="0" applyFont="1" applyBorder="1" applyAlignment="1">
      <alignment horizontal="center" vertical="bottom"/>
    </xf>
    <xf numFmtId="0" fontId="6" fillId="7" borderId="15" xfId="0" applyFont="1" applyFill="1" applyBorder="1" applyAlignment="1">
      <alignment horizontal="center" vertical="bottom"/>
    </xf>
    <xf numFmtId="0" fontId="6" fillId="7" borderId="15" xfId="0" applyFont="1" applyBorder="1" applyAlignment="1">
      <alignment horizontal="center" vertical="bottom"/>
    </xf>
    <xf numFmtId="0" fontId="6" fillId="7" borderId="15" xfId="0" applyFont="1" applyBorder="1" applyAlignment="1">
      <alignment horizontal="center" vertical="bottom"/>
    </xf>
    <xf numFmtId="0" fontId="6" fillId="11" borderId="15" xfId="0" applyFont="1" applyFill="1" applyBorder="1" applyAlignment="1">
      <alignment horizontal="center" vertical="bottom"/>
    </xf>
    <xf numFmtId="0" fontId="9" fillId="5" borderId="29" xfId="0" applyFont="1" applyBorder="1" applyAlignment="1">
      <alignment horizontal="center" vertical="bottom"/>
    </xf>
    <xf numFmtId="0" fontId="13" fillId="5" borderId="30" xfId="0" applyFont="1" applyBorder="1" applyAlignment="1">
      <alignment horizontal="center" vertical="bottom"/>
    </xf>
    <xf numFmtId="0" fontId="10" fillId="5" borderId="30" xfId="0" applyFont="1" applyBorder="1" applyAlignment="1">
      <alignment horizontal="center" vertical="bottom"/>
    </xf>
    <xf numFmtId="0" fontId="9" fillId="5" borderId="31" xfId="0" applyFont="1" applyBorder="1" applyAlignment="1">
      <alignment horizontal="center" vertical="bottom"/>
    </xf>
    <xf numFmtId="0" fontId="9" fillId="5" borderId="32" xfId="0" applyFont="1" applyBorder="1" applyAlignment="1">
      <alignment horizontal="center" vertical="bottom"/>
    </xf>
    <xf numFmtId="0" fontId="9" fillId="5" borderId="33" xfId="0" applyFont="1" applyBorder="1" applyAlignment="1">
      <alignment horizontal="center" vertical="bottom"/>
    </xf>
    <xf numFmtId="0" fontId="6" fillId="2" borderId="34" xfId="0" applyFont="1" applyBorder="1" applyAlignment="1">
      <alignment vertical="bottom"/>
    </xf>
    <xf numFmtId="0" fontId="4" fillId="2" borderId="35" xfId="0" applyFont="1" applyBorder="1" applyAlignment="1">
      <alignment horizontal="center" vertical="bottom"/>
    </xf>
    <xf numFmtId="0" fontId="6" fillId="2" borderId="36" xfId="0" applyFont="1" applyBorder="1" applyAlignment="1">
      <alignment horizontal="center" vertical="bottom"/>
    </xf>
    <xf numFmtId="0" fontId="12" fillId="11" borderId="19" xfId="0" applyFont="1" applyBorder="1" applyAlignment="1">
      <alignment vertical="bottom"/>
    </xf>
    <xf numFmtId="0" fontId="6" fillId="11" borderId="20" xfId="0" applyFont="1" applyBorder="1" applyAlignment="1">
      <alignment horizontal="center" vertical="bottom"/>
    </xf>
    <xf numFmtId="0" fontId="12" fillId="3" borderId="20" xfId="0" applyFont="1" applyBorder="1" applyAlignment="1">
      <alignment vertical="bottom"/>
    </xf>
    <xf numFmtId="0" fontId="12" fillId="11" borderId="20" xfId="0" applyFont="1" applyBorder="1" applyAlignment="1">
      <alignment vertical="bottom"/>
    </xf>
    <xf numFmtId="0" fontId="6" fillId="2" borderId="34" xfId="0" applyFont="1" applyBorder="1" applyAlignment="1">
      <alignment horizontal="center" vertical="bottom"/>
    </xf>
    <xf numFmtId="0" fontId="6" fillId="3" borderId="37" xfId="0" applyFont="1" applyBorder="1" applyAlignment="1">
      <alignment horizontal="center" vertical="bottom"/>
    </xf>
    <xf numFmtId="0" fontId="6" fillId="3" borderId="38" xfId="0" applyFont="1" applyBorder="1" applyAlignment="1">
      <alignment horizontal="center" vertical="bottom"/>
    </xf>
    <xf numFmtId="0" fontId="4" fillId="12" borderId="18" xfId="0" applyFont="1" applyFill="1" applyBorder="1" applyAlignment="1">
      <alignment horizontal="center" vertical="bottom"/>
    </xf>
    <xf numFmtId="0" fontId="6" fillId="12" borderId="36" xfId="0" applyFont="1" applyBorder="1" applyAlignment="1">
      <alignment horizontal="center" vertical="bottom"/>
    </xf>
    <xf numFmtId="0" fontId="6" fillId="11" borderId="19" xfId="0" applyFont="1" applyBorder="1" applyAlignment="1">
      <alignment horizontal="center" vertical="bottom"/>
    </xf>
    <xf numFmtId="0" fontId="6" fillId="2" borderId="38" xfId="0" applyFont="1" applyBorder="1" applyAlignment="1">
      <alignment horizontal="center" vertical="bottom"/>
    </xf>
    <xf numFmtId="0" fontId="6" fillId="2" borderId="0" xfId="0" applyFont="1">
      <alignment vertical="center"/>
    </xf>
    <xf numFmtId="0" fontId="4" fillId="13" borderId="18" xfId="0" applyFont="1" applyFill="1" applyBorder="1" applyAlignment="1">
      <alignment horizontal="center" vertical="center"/>
    </xf>
    <xf numFmtId="0" fontId="6" fillId="13" borderId="36" xfId="0" applyFont="1" applyBorder="1" applyAlignment="1">
      <alignment horizontal="center" vertical="center"/>
    </xf>
    <xf numFmtId="0" fontId="6" fillId="2" borderId="19" xfId="0" applyFont="1" applyBorder="1" applyAlignment="1">
      <alignment horizontal="center" vertical="center"/>
    </xf>
    <xf numFmtId="0" fontId="6" fillId="2" borderId="20" xfId="0" applyFont="1" applyBorder="1" applyAlignment="1">
      <alignment horizontal="center" vertical="center"/>
    </xf>
    <xf numFmtId="0" fontId="6" fillId="7" borderId="20" xfId="0" applyFont="1" applyBorder="1" applyAlignment="1">
      <alignment horizontal="center" vertical="center"/>
    </xf>
    <xf numFmtId="3" fontId="6" fillId="2" borderId="20" xfId="0" applyNumberFormat="1" applyFont="1" applyBorder="1" applyAlignment="1">
      <alignment horizontal="center" vertical="center"/>
    </xf>
    <xf numFmtId="0" fontId="6" fillId="11" borderId="19" xfId="0" applyFont="1" applyBorder="1" applyAlignment="1">
      <alignment horizontal="center" vertical="center"/>
    </xf>
    <xf numFmtId="0" fontId="6" fillId="11" borderId="20" xfId="0" applyFont="1" applyBorder="1" applyAlignment="1">
      <alignment horizontal="center" vertical="center"/>
    </xf>
    <xf numFmtId="0" fontId="6" fillId="2" borderId="34" xfId="0" applyFont="1" applyBorder="1" applyAlignment="1">
      <alignment horizontal="center" vertical="center"/>
    </xf>
    <xf numFmtId="0" fontId="6" fillId="2" borderId="38" xfId="0" applyFont="1" applyBorder="1" applyAlignment="1">
      <alignment horizontal="center" vertical="center"/>
    </xf>
    <xf numFmtId="0" fontId="6" fillId="2" borderId="0" xfId="0" applyFont="1" applyAlignment="1">
      <alignment horizontal="left" vertical="bottom"/>
    </xf>
    <xf numFmtId="0" fontId="4" fillId="13" borderId="18" xfId="0" applyFont="1" applyBorder="1" applyAlignment="1">
      <alignment horizontal="center" vertical="bottom"/>
    </xf>
    <xf numFmtId="0" fontId="6" fillId="13" borderId="36" xfId="0" applyFont="1" applyBorder="1" applyAlignment="1">
      <alignment horizontal="center" vertical="bottom"/>
    </xf>
    <xf numFmtId="0" fontId="6" fillId="13" borderId="20" xfId="0" applyFont="1" applyBorder="1" applyAlignment="1">
      <alignment horizontal="center" vertical="bottom"/>
    </xf>
    <xf numFmtId="3" fontId="6" fillId="13" borderId="21" xfId="0" applyNumberFormat="1" applyFont="1" applyBorder="1" applyAlignment="1">
      <alignment horizontal="center" vertical="bottom"/>
    </xf>
    <xf numFmtId="0" fontId="6" fillId="3" borderId="34" xfId="0" applyFont="1" applyBorder="1" applyAlignment="1">
      <alignment horizontal="center" vertical="bottom"/>
    </xf>
    <xf numFmtId="0" fontId="4" fillId="12" borderId="23" xfId="0" applyFont="1" applyBorder="1" applyAlignment="1">
      <alignment horizontal="center" vertical="bottom"/>
    </xf>
    <xf numFmtId="0" fontId="6" fillId="2" borderId="39" xfId="0" applyFont="1" applyBorder="1" applyAlignment="1">
      <alignment horizontal="center" vertical="bottom"/>
    </xf>
    <xf numFmtId="3" fontId="6" fillId="3" borderId="25" xfId="0" applyNumberFormat="1" applyFont="1" applyBorder="1" applyAlignment="1">
      <alignment horizontal="center" vertical="bottom"/>
    </xf>
    <xf numFmtId="0" fontId="6" fillId="3" borderId="26" xfId="0" applyFont="1" applyBorder="1" applyAlignment="1">
      <alignment horizontal="center" vertical="bottom"/>
    </xf>
    <xf numFmtId="0" fontId="6" fillId="11" borderId="24" xfId="0" applyFont="1" applyBorder="1" applyAlignment="1">
      <alignment horizontal="center" vertical="bottom"/>
    </xf>
    <xf numFmtId="0" fontId="6" fillId="11" borderId="25" xfId="0" applyFont="1" applyBorder="1" applyAlignment="1">
      <alignment horizontal="center" vertical="bottom"/>
    </xf>
    <xf numFmtId="0" fontId="6" fillId="2" borderId="40" xfId="0" applyFont="1" applyBorder="1" applyAlignment="1">
      <alignment horizontal="center" vertical="bottom"/>
    </xf>
    <xf numFmtId="0" fontId="6" fillId="3" borderId="41" xfId="0" applyFont="1" applyBorder="1" applyAlignment="1">
      <alignment horizontal="center" vertical="bottom"/>
    </xf>
    <xf numFmtId="0" fontId="6" fillId="3" borderId="42" xfId="0" applyFont="1" applyBorder="1" applyAlignment="1">
      <alignment horizontal="center" vertical="bottom"/>
    </xf>
    <xf numFmtId="0" fontId="6" fillId="2" borderId="42" xfId="0" applyFont="1" applyBorder="1" applyAlignment="1">
      <alignment horizontal="center" vertical="bottom"/>
    </xf>
    <xf numFmtId="0" fontId="6" fillId="2" borderId="43" xfId="0" applyFont="1" applyBorder="1" applyAlignment="1">
      <alignment horizontal="center" vertical="bottom"/>
    </xf>
    <xf numFmtId="0" fontId="6" fillId="13" borderId="5" xfId="0" applyFont="1" applyBorder="1" applyAlignment="1">
      <alignment horizontal="center" vertical="bottom"/>
    </xf>
    <xf numFmtId="0" fontId="6" fillId="13" borderId="0" xfId="0" applyFont="1" applyAlignment="1">
      <alignment horizontal="center" vertical="bottom"/>
    </xf>
    <xf numFmtId="0" fontId="6" fillId="7" borderId="0" xfId="0" applyFont="1" applyAlignment="1">
      <alignment horizontal="center" vertical="bottom"/>
    </xf>
    <xf numFmtId="3" fontId="6" fillId="13" borderId="0" xfId="0" applyNumberFormat="1" applyFont="1" applyAlignment="1">
      <alignment horizontal="center" vertical="bottom"/>
    </xf>
    <xf numFmtId="0" fontId="6" fillId="14" borderId="0" xfId="0" applyFont="1" applyFill="1" applyAlignment="1">
      <alignment horizontal="center" vertical="bottom"/>
    </xf>
    <xf numFmtId="0" fontId="3" fillId="2" borderId="0" xfId="0" applyFont="1" applyAlignment="1">
      <alignment vertical="bottom"/>
    </xf>
    <xf numFmtId="0" fontId="6" fillId="2" borderId="0" xfId="0" applyFont="1" applyAlignment="1">
      <alignment horizontal="center" vertical="center"/>
    </xf>
    <xf numFmtId="0" fontId="14" fillId="2" borderId="0" xfId="0" applyFont="1" applyAlignment="1">
      <alignment horizontal="center" vertical="center"/>
    </xf>
    <xf numFmtId="0" fontId="3" fillId="2" borderId="0" xfId="0" applyFont="1">
      <alignment vertical="center"/>
    </xf>
    <xf numFmtId="0" fontId="2" fillId="2" borderId="0" xfId="0" applyFont="1" applyAlignment="1">
      <alignment horizontal="center" vertical="center"/>
    </xf>
    <xf numFmtId="0" fontId="15" fillId="2" borderId="0" xfId="0" applyFont="1" applyAlignment="1">
      <alignment horizontal="center" vertical="center"/>
    </xf>
    <xf numFmtId="0" fontId="2" fillId="2" borderId="0" xfId="0" applyFont="1" applyAlignment="1">
      <alignment horizontal="center" vertical="bottom"/>
    </xf>
    <xf numFmtId="0" fontId="15" fillId="2" borderId="0" xfId="0" applyFont="1" applyAlignment="1">
      <alignment horizontal="center" vertical="bottom"/>
    </xf>
    <xf numFmtId="0" fontId="8" fillId="4" borderId="44" xfId="0" applyFont="1" applyBorder="1" applyAlignment="1">
      <alignment horizontal="center" vertical="bottom"/>
    </xf>
    <xf numFmtId="0" fontId="6" fillId="5" borderId="22" xfId="0" applyFont="1" applyBorder="1" applyAlignment="1">
      <alignment horizontal="center" vertical="bottom"/>
    </xf>
    <xf numFmtId="0" fontId="6" fillId="5" borderId="20" xfId="0" applyFont="1" applyBorder="1" applyAlignment="1">
      <alignment horizontal="center" vertical="bottom"/>
    </xf>
    <xf numFmtId="0" fontId="6" fillId="11" borderId="34" xfId="0" applyFont="1" applyBorder="1" applyAlignment="1">
      <alignment horizontal="center" vertical="bottom"/>
    </xf>
    <xf numFmtId="3" fontId="6" fillId="3" borderId="34" xfId="0" applyNumberFormat="1" applyFont="1" applyBorder="1" applyAlignment="1">
      <alignment horizontal="center" vertical="bottom"/>
    </xf>
    <xf numFmtId="3" fontId="6" fillId="0" borderId="20" xfId="0" applyNumberFormat="1" applyFont="1" applyBorder="1" applyAlignment="1">
      <alignment horizontal="center" vertical="bottom"/>
    </xf>
    <xf numFmtId="0" fontId="6" fillId="0" borderId="34" xfId="0" applyFont="1" applyBorder="1" applyAlignment="1">
      <alignment horizontal="center" vertical="bottom"/>
    </xf>
    <xf numFmtId="0" fontId="6" fillId="3" borderId="45" xfId="0" applyFont="1" applyBorder="1" applyAlignment="1">
      <alignment horizontal="center" vertical="bottom"/>
    </xf>
    <xf numFmtId="0" fontId="6" fillId="3" borderId="10" xfId="0" applyFont="1" applyBorder="1" applyAlignment="1">
      <alignment horizontal="center" vertical="bottom"/>
    </xf>
    <xf numFmtId="0" fontId="12" fillId="3" borderId="10" xfId="0" applyFont="1" applyBorder="1" applyAlignment="1">
      <alignment vertical="bottom"/>
    </xf>
    <xf numFmtId="0" fontId="12" fillId="3" borderId="46" xfId="0" applyFont="1" applyBorder="1" applyAlignment="1">
      <alignment vertical="bottom"/>
    </xf>
    <xf numFmtId="3" fontId="6" fillId="11" borderId="20" xfId="0" applyNumberFormat="1" applyFont="1" applyBorder="1" applyAlignment="1">
      <alignment horizontal="center" vertical="bottom"/>
    </xf>
    <xf numFmtId="3" fontId="6" fillId="11" borderId="34" xfId="0" applyNumberFormat="1" applyFont="1" applyBorder="1" applyAlignment="1">
      <alignment horizontal="center" vertical="bottom"/>
    </xf>
    <xf numFmtId="0" fontId="4" fillId="2" borderId="23" xfId="0" applyFont="1" applyBorder="1" applyAlignment="1">
      <alignment horizontal="center" vertical="bottom"/>
    </xf>
    <xf numFmtId="0" fontId="4" fillId="3" borderId="0" xfId="0" applyFont="1" applyAlignment="1">
      <alignment vertical="bottom"/>
    </xf>
    <xf numFmtId="0" fontId="6" fillId="2" borderId="24" xfId="0" applyFont="1" applyBorder="1" applyAlignment="1">
      <alignment horizontal="center" vertical="bottom"/>
    </xf>
    <xf numFmtId="3" fontId="6" fillId="0" borderId="25" xfId="0" applyNumberFormat="1" applyFont="1" applyBorder="1" applyAlignment="1">
      <alignment horizontal="center" vertical="bottom"/>
    </xf>
    <xf numFmtId="0" fontId="6" fillId="0" borderId="25" xfId="0" applyFont="1" applyBorder="1" applyAlignment="1">
      <alignment horizontal="center" vertical="bottom"/>
    </xf>
    <xf numFmtId="0" fontId="6" fillId="0" borderId="40" xfId="0" applyFont="1" applyBorder="1" applyAlignment="1">
      <alignment horizontal="center" vertical="bottom"/>
    </xf>
    <xf numFmtId="0" fontId="6" fillId="2" borderId="41" xfId="0" applyFont="1" applyBorder="1" applyAlignment="1">
      <alignment horizontal="center" vertical="bottom"/>
    </xf>
    <xf numFmtId="0" fontId="14" fillId="2" borderId="0" xfId="0" applyFont="1" applyAlignment="1">
      <alignment horizontal="center" vertical="bottom"/>
    </xf>
    <xf numFmtId="0" fontId="6" fillId="15" borderId="20" xfId="0" applyFont="1" applyFill="1" applyBorder="1" applyAlignment="1">
      <alignment horizontal="center" vertical="bottom"/>
    </xf>
    <xf numFmtId="0" fontId="6" fillId="11" borderId="15" xfId="0" applyFont="1" applyBorder="1" applyAlignment="1">
      <alignment horizontal="center" vertical="bottom"/>
    </xf>
    <xf numFmtId="0" fontId="10" fillId="11" borderId="15" xfId="0" applyFont="1" applyBorder="1" applyAlignment="1">
      <alignment horizontal="center" vertical="bottom"/>
    </xf>
    <xf numFmtId="0" fontId="6" fillId="7" borderId="34" xfId="0" applyFont="1" applyBorder="1" applyAlignment="1">
      <alignment horizontal="center" vertical="bottom"/>
    </xf>
    <xf numFmtId="0" fontId="9" fillId="7" borderId="47" xfId="0" applyFont="1" applyBorder="1" applyAlignment="1">
      <alignment horizontal="center" vertical="bottom"/>
    </xf>
    <xf numFmtId="0" fontId="13" fillId="7" borderId="48" xfId="0" applyFont="1" applyBorder="1" applyAlignment="1">
      <alignment horizontal="center" vertical="bottom"/>
    </xf>
    <xf numFmtId="0" fontId="9" fillId="7" borderId="48" xfId="0" applyFont="1" applyBorder="1" applyAlignment="1">
      <alignment horizontal="center" vertical="bottom"/>
    </xf>
    <xf numFmtId="0" fontId="9" fillId="7" borderId="49" xfId="0" applyFont="1" applyBorder="1" applyAlignment="1">
      <alignment horizontal="center" vertical="bottom"/>
    </xf>
    <xf numFmtId="0" fontId="9" fillId="7" borderId="31" xfId="0" applyFont="1" applyBorder="1" applyAlignment="1">
      <alignment horizontal="center" vertical="bottom"/>
    </xf>
    <xf numFmtId="0" fontId="9" fillId="7" borderId="32" xfId="0" applyFont="1" applyBorder="1" applyAlignment="1">
      <alignment horizontal="center" vertical="bottom"/>
    </xf>
    <xf numFmtId="0" fontId="9" fillId="7" borderId="33" xfId="0" applyFont="1" applyBorder="1" applyAlignment="1">
      <alignment horizontal="center" vertical="bottom"/>
    </xf>
    <xf numFmtId="0" fontId="6" fillId="16" borderId="50" xfId="0" applyFont="1" applyBorder="1" applyAlignment="1">
      <alignment horizontal="center" vertical="bottom"/>
    </xf>
    <xf numFmtId="0" fontId="6" fillId="16" borderId="10" xfId="0" applyFont="1" applyBorder="1" applyAlignment="1">
      <alignment horizontal="center" vertical="bottom"/>
    </xf>
    <xf numFmtId="0" fontId="6" fillId="17" borderId="10" xfId="0" applyFont="1" applyBorder="1" applyAlignment="1">
      <alignment horizontal="center" vertical="bottom"/>
    </xf>
    <xf numFmtId="0" fontId="6" fillId="17" borderId="8" xfId="0" applyFont="1" applyBorder="1" applyAlignment="1">
      <alignment horizontal="center" vertical="bottom"/>
    </xf>
    <xf numFmtId="0" fontId="6" fillId="0" borderId="20" xfId="0" applyFont="1" applyBorder="1" applyAlignment="1">
      <alignment horizontal="center" vertical="bottom"/>
    </xf>
    <xf numFmtId="0" fontId="6" fillId="16" borderId="19" xfId="0" applyFont="1" applyBorder="1" applyAlignment="1">
      <alignment horizontal="center" vertical="bottom"/>
    </xf>
    <xf numFmtId="0" fontId="6" fillId="16" borderId="20" xfId="0" applyFont="1" applyBorder="1" applyAlignment="1">
      <alignment horizontal="center" vertical="bottom"/>
    </xf>
    <xf numFmtId="0" fontId="6" fillId="2" borderId="37" xfId="0" applyFont="1" applyBorder="1" applyAlignment="1">
      <alignment horizontal="center" vertical="bottom"/>
    </xf>
    <xf numFmtId="0" fontId="6" fillId="16" borderId="24" xfId="0" applyFont="1" applyBorder="1" applyAlignment="1">
      <alignment horizontal="center" vertical="bottom"/>
    </xf>
    <xf numFmtId="0" fontId="6" fillId="16" borderId="25" xfId="0" applyFont="1" applyBorder="1" applyAlignment="1">
      <alignment horizontal="center" vertical="bottom"/>
    </xf>
    <xf numFmtId="0" fontId="6" fillId="4" borderId="20" xfId="0" applyFont="1" applyBorder="1" applyAlignment="1">
      <alignment horizontal="left" vertical="bottom"/>
    </xf>
    <xf numFmtId="0" fontId="4" fillId="4" borderId="8" xfId="0" applyFont="1" applyBorder="1" applyAlignment="1">
      <alignment horizontal="center" vertical="bottom"/>
    </xf>
    <xf numFmtId="0" fontId="6" fillId="2" borderId="1" xfId="0" applyFont="1" applyBorder="1" applyAlignment="1">
      <alignment horizontal="center" vertical="bottom"/>
    </xf>
    <xf numFmtId="0" fontId="6" fillId="2" borderId="2" xfId="0" applyFont="1" applyBorder="1" applyAlignment="1">
      <alignment horizontal="center" vertical="bottom"/>
    </xf>
    <xf numFmtId="0" fontId="6" fillId="7" borderId="2" xfId="0" applyFont="1" applyBorder="1" applyAlignment="1">
      <alignment horizontal="center" vertical="bottom"/>
    </xf>
    <xf numFmtId="0" fontId="15" fillId="2" borderId="2" xfId="0" applyFont="1" applyBorder="1" applyAlignment="1">
      <alignment horizontal="center" vertical="bottom"/>
    </xf>
    <xf numFmtId="0" fontId="15" fillId="7" borderId="2" xfId="0" applyFont="1" applyBorder="1" applyAlignment="1">
      <alignment horizontal="center" vertical="bottom"/>
    </xf>
    <xf numFmtId="0" fontId="14" fillId="2" borderId="2" xfId="0" applyFont="1" applyBorder="1" applyAlignment="1">
      <alignment horizontal="center" vertical="bottom"/>
    </xf>
    <xf numFmtId="0" fontId="14" fillId="7" borderId="2" xfId="0" applyFont="1" applyBorder="1" applyAlignment="1">
      <alignment horizontal="center" vertical="bottom"/>
    </xf>
    <xf numFmtId="0" fontId="14" fillId="11" borderId="2" xfId="0" applyFont="1" applyBorder="1" applyAlignment="1">
      <alignment horizontal="center" vertical="bottom"/>
    </xf>
    <xf numFmtId="0" fontId="6" fillId="16" borderId="5" xfId="0" applyFont="1" applyBorder="1" applyAlignment="1">
      <alignment horizontal="center" vertical="bottom"/>
    </xf>
    <xf numFmtId="0" fontId="6" fillId="16" borderId="7" xfId="0" applyFont="1" applyBorder="1" applyAlignment="1">
      <alignment horizontal="center" vertical="bottom"/>
    </xf>
    <xf numFmtId="0" fontId="14" fillId="2" borderId="11" xfId="0" applyFont="1" applyBorder="1" applyAlignment="1">
      <alignment horizontal="center" vertical="bottom"/>
    </xf>
    <xf numFmtId="0" fontId="14" fillId="2" borderId="10" xfId="0" applyFont="1" applyBorder="1" applyAlignment="1">
      <alignment horizontal="center" vertical="bottom"/>
    </xf>
    <xf numFmtId="0" fontId="6" fillId="2" borderId="10" xfId="0" applyFont="1" applyBorder="1" applyAlignment="1">
      <alignment vertical="bottom"/>
    </xf>
    <xf numFmtId="0" fontId="4" fillId="4" borderId="34" xfId="0" applyFont="1" applyBorder="1" applyAlignment="1">
      <alignment horizontal="center" vertical="bottom"/>
    </xf>
    <xf numFmtId="0" fontId="15" fillId="7" borderId="0" xfId="0" applyFont="1" applyAlignment="1">
      <alignment horizontal="center" vertical="bottom"/>
    </xf>
    <xf numFmtId="0" fontId="14" fillId="7" borderId="0" xfId="0" applyFont="1" applyAlignment="1">
      <alignment horizontal="center" vertical="bottom"/>
    </xf>
    <xf numFmtId="0" fontId="14" fillId="11" borderId="0" xfId="0" applyFont="1" applyAlignment="1">
      <alignment horizontal="center" vertical="bottom"/>
    </xf>
    <xf numFmtId="0" fontId="14" fillId="2" borderId="22" xfId="0" applyFont="1" applyBorder="1" applyAlignment="1">
      <alignment horizontal="center" vertical="bottom"/>
    </xf>
    <xf numFmtId="0" fontId="14" fillId="2" borderId="20" xfId="0" applyFont="1" applyBorder="1" applyAlignment="1">
      <alignment horizontal="center" vertical="bottom"/>
    </xf>
    <xf numFmtId="0" fontId="6" fillId="2" borderId="20" xfId="0" applyFont="1" applyBorder="1" applyAlignment="1">
      <alignment vertical="bottom"/>
    </xf>
    <xf numFmtId="0" fontId="6" fillId="7" borderId="0" xfId="0" applyFont="1" applyAlignment="1">
      <alignment vertical="bottom"/>
    </xf>
    <xf numFmtId="0" fontId="6" fillId="7" borderId="0" xfId="0" applyFont="1" applyAlignment="1">
      <alignment horizontal="left" vertical="bottom"/>
    </xf>
    <xf numFmtId="0" fontId="6" fillId="11" borderId="0" xfId="0" applyFont="1" applyAlignment="1">
      <alignment horizontal="left" vertical="bottom"/>
    </xf>
    <xf numFmtId="0" fontId="6" fillId="2" borderId="22" xfId="0" applyFont="1" applyBorder="1" applyAlignment="1">
      <alignment horizontal="left" vertical="bottom"/>
    </xf>
    <xf numFmtId="0" fontId="6" fillId="2" borderId="20" xfId="0" applyFont="1" applyBorder="1" applyAlignment="1">
      <alignment horizontal="left" vertical="bottom"/>
    </xf>
    <xf numFmtId="0" fontId="3" fillId="2" borderId="0" xfId="0" applyFont="1" applyAlignment="1">
      <alignment horizontal="left" vertical="bottom"/>
    </xf>
    <xf numFmtId="0" fontId="6" fillId="7" borderId="0" xfId="0" applyFont="1" applyAlignment="1">
      <alignment horizontal="left" vertical="bottom"/>
    </xf>
    <xf numFmtId="0" fontId="6" fillId="4" borderId="3" xfId="0" applyFont="1" applyBorder="1" applyAlignment="1">
      <alignment horizontal="left" vertical="bottom"/>
    </xf>
    <xf numFmtId="0" fontId="16" fillId="4" borderId="1" xfId="0" applyFont="1" applyBorder="1" applyAlignment="1">
      <alignment horizontal="center" vertical="bottom"/>
    </xf>
    <xf numFmtId="0" fontId="6" fillId="2" borderId="4" xfId="0" applyFont="1" applyBorder="1" applyAlignment="1">
      <alignment horizontal="left" vertical="bottom"/>
    </xf>
    <xf numFmtId="0" fontId="6" fillId="2" borderId="3" xfId="0" applyFont="1" applyBorder="1" applyAlignment="1">
      <alignment horizontal="left" vertical="bottom"/>
    </xf>
    <xf numFmtId="0" fontId="14" fillId="2" borderId="3" xfId="0" applyFont="1" applyBorder="1" applyAlignment="1">
      <alignment horizontal="center" vertical="bottom"/>
    </xf>
    <xf numFmtId="0" fontId="6" fillId="2" borderId="3" xfId="0" applyFont="1" applyBorder="1" applyAlignment="1">
      <alignment vertical="bottom"/>
    </xf>
    <xf numFmtId="0" fontId="16" fillId="2" borderId="0" xfId="0" applyFont="1" applyAlignment="1">
      <alignment horizontal="center" vertical="bottom"/>
    </xf>
    <xf numFmtId="0" fontId="17" fillId="2" borderId="0" xfId="0" applyFont="1" applyAlignment="1">
      <alignment vertical="bottom"/>
    </xf>
    <xf numFmtId="0" fontId="9" fillId="7" borderId="12" xfId="0" applyFont="1" applyBorder="1" applyAlignment="1">
      <alignment horizontal="center" vertical="bottom"/>
    </xf>
    <xf numFmtId="0" fontId="13" fillId="7" borderId="12" xfId="0" applyFont="1" applyBorder="1" applyAlignment="1">
      <alignment horizontal="center" vertical="bottom"/>
    </xf>
    <xf numFmtId="0" fontId="9" fillId="7" borderId="12" xfId="0" applyFont="1" applyBorder="1" applyAlignment="1">
      <alignment horizontal="center" vertical="bottom"/>
    </xf>
    <xf numFmtId="0" fontId="13" fillId="7" borderId="30" xfId="0" applyFont="1" applyBorder="1" applyAlignment="1">
      <alignment horizontal="center" vertical="bottom"/>
    </xf>
    <xf numFmtId="0" fontId="9" fillId="7" borderId="29" xfId="0" applyFont="1" applyBorder="1" applyAlignment="1">
      <alignment horizontal="center" vertical="bottom"/>
    </xf>
    <xf numFmtId="0" fontId="9" fillId="7" borderId="14" xfId="0" applyFont="1" applyBorder="1" applyAlignment="1">
      <alignment horizontal="center" vertical="bottom"/>
    </xf>
    <xf numFmtId="0" fontId="9" fillId="7" borderId="15" xfId="0" applyFont="1" applyBorder="1" applyAlignment="1">
      <alignment horizontal="center" vertical="bottom"/>
    </xf>
    <xf numFmtId="0" fontId="9" fillId="7" borderId="16" xfId="0" applyFont="1" applyBorder="1" applyAlignment="1">
      <alignment horizontal="center" vertical="bottom"/>
    </xf>
    <xf numFmtId="0" fontId="9" fillId="11" borderId="15" xfId="0" applyFont="1" applyBorder="1" applyAlignment="1">
      <alignment horizontal="center" vertical="bottom"/>
    </xf>
    <xf numFmtId="0" fontId="9" fillId="11" borderId="16" xfId="0" applyFont="1" applyBorder="1" applyAlignment="1">
      <alignment horizontal="center" vertical="bottom"/>
    </xf>
    <xf numFmtId="0" fontId="4" fillId="2" borderId="20" xfId="0" applyFont="1" applyBorder="1" applyAlignment="1">
      <alignment horizontal="center" vertical="bottom"/>
    </xf>
    <xf numFmtId="0" fontId="6" fillId="11" borderId="21" xfId="0" applyFont="1" applyBorder="1" applyAlignment="1">
      <alignment horizontal="center" vertical="bottom"/>
    </xf>
    <xf numFmtId="0" fontId="6" fillId="11" borderId="26" xfId="0" applyFont="1" applyBorder="1" applyAlignment="1">
      <alignment horizontal="center" vertical="bottom"/>
    </xf>
    <xf numFmtId="0" fontId="4" fillId="2" borderId="0" xfId="0" applyFont="1" applyAlignment="1">
      <alignment horizontal="center" vertical="bottom"/>
    </xf>
    <xf numFmtId="0" fontId="18" fillId="2" borderId="0" xfId="0" applyFont="1" applyAlignment="1">
      <alignment horizontal="center" vertical="bottom"/>
    </xf>
    <xf numFmtId="0" fontId="19" fillId="2" borderId="0" xfId="0" applyFont="1" applyAlignment="1">
      <alignment horizontal="center" vertical="bottom"/>
    </xf>
    <xf numFmtId="0" fontId="4" fillId="2" borderId="0" xfId="0" applyFont="1" applyAlignment="1">
      <alignment vertical="bottom"/>
    </xf>
    <xf numFmtId="0" fontId="20" fillId="2" borderId="0" xfId="0" applyFont="1" applyAlignment="1">
      <alignment horizontal="center" vertical="bottom"/>
    </xf>
  </cellXfs>
  <cellStyles count="1">
    <cellStyle name="常规" xfId="0" builtinId="0"/>
  </cellStyles>
  <dxfs count="6">
    <dxf>
      <font/>
      <fill>
        <patternFill patternType="solid">
          <fgColor rgb="FF356854"/>
          <bgColor rgb="FF356854"/>
        </patternFill>
      </fill>
      <border>
        <left/>
        <right/>
        <top/>
        <bottom/>
        <diagonal/>
      </border>
    </dxf>
    <dxf>
      <font/>
      <fill>
        <patternFill patternType="solid">
          <fgColor rgb="FFFFFFFF"/>
          <bgColor rgb="FFFFFFFF"/>
        </patternFill>
      </fill>
      <border>
        <left/>
        <right/>
        <top/>
        <bottom/>
        <diagonal/>
      </border>
    </dxf>
    <dxf>
      <font/>
      <fill>
        <patternFill patternType="solid">
          <fgColor rgb="FFF6F8F9"/>
          <bgColor rgb="FFF6F8F9"/>
        </patternFill>
      </fill>
      <border>
        <left/>
        <right/>
        <top/>
        <bottom/>
        <diagonal/>
      </border>
    </dxf>
    <dxf>
      <font/>
      <fill>
        <patternFill patternType="solid">
          <fgColor rgb="FF356854"/>
          <bgColor rgb="FF356854"/>
        </patternFill>
      </fill>
      <border>
        <left/>
        <right/>
        <top/>
        <bottom/>
        <diagonal/>
      </border>
    </dxf>
    <dxf>
      <font/>
      <fill>
        <patternFill patternType="solid">
          <fgColor rgb="FFFFFFFF"/>
          <bgColor rgb="FFFFFFFF"/>
        </patternFill>
      </fill>
      <border>
        <left/>
        <right/>
        <top/>
        <bottom/>
        <diagonal/>
      </border>
    </dxf>
    <dxf>
      <font/>
      <fill>
        <patternFill patternType="solid">
          <fgColor rgb="FFF6F8F9"/>
          <bgColor rgb="FFF6F8F9"/>
        </patternFill>
      </fill>
      <border>
        <left/>
        <right/>
        <top/>
        <bottom/>
        <diagonal/>
      </border>
    </dxf>
  </dxfs>
  <tableStyles count="2">
    <tableStyle name="😈 อุปกรณ์ - มู่ลี่ไม้-style" pivot="0" count="3">
      <tableStyleElement type="headerRow" dxfId="0"/>
      <tableStyleElement type="firstRowStripe" dxfId="1"/>
      <tableStyleElement type="secondRowStripe" dxfId="2"/>
    </tableStyle>
    <tableStyle name="มู่ลี่ไม้  - V2-style" pivot="0" count="3">
      <tableStyleElement type="headerRow" dxfId="3"/>
      <tableStyleElement type="firstRowStripe" dxfId="4"/>
      <tableStyleElement type="secondRowStripe" dxfId="5"/>
    </tableStyle>
  </tableStyles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www.wps.cn/officeDocument/2020/cellImage" Target="cellimages.xml"/><Relationship Id="rId3" Type="http://schemas.openxmlformats.org/officeDocument/2006/relationships/sharedStrings" Target="sharedStrings.xml"/><Relationship Id="rId4" Type="http://schemas.openxmlformats.org/officeDocument/2006/relationships/styles" Target="styles.xml"/><Relationship Id="rId5" Type="http://schemas.openxmlformats.org/officeDocument/2006/relationships/theme" Target="theme/theme1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0.png"/><Relationship Id="rId2" Type="http://schemas.openxmlformats.org/officeDocument/2006/relationships/image" Target="../media/image1.png"/><Relationship Id="rId3" Type="http://schemas.openxmlformats.org/officeDocument/2006/relationships/image" Target="../media/image2.png"/><Relationship Id="rId4" Type="http://schemas.openxmlformats.org/officeDocument/2006/relationships/image" Target="../media/image3.png"/><Relationship Id="rId5" Type="http://schemas.openxmlformats.org/officeDocument/2006/relationships/image" Target="../media/image4.png"/><Relationship Id="rId6" Type="http://schemas.openxmlformats.org/officeDocument/2006/relationships/image" Target="../media/image5.png"/><Relationship Id="rId7" Type="http://schemas.openxmlformats.org/officeDocument/2006/relationships/image" Target="../media/image6.png"/><Relationship Id="rId8" Type="http://schemas.openxmlformats.org/officeDocument/2006/relationships/image" Target="../media/image7.png"/><Relationship Id="rId9" Type="http://schemas.openxmlformats.org/officeDocument/2006/relationships/image" Target="../media/image8.png"/><Relationship Id="rId10" Type="http://schemas.openxmlformats.org/officeDocument/2006/relationships/image" Target="../media/image9.png"/><Relationship Id="rId11" Type="http://schemas.openxmlformats.org/officeDocument/2006/relationships/image" Target="../media/image10.png"/><Relationship Id="rId12" Type="http://schemas.openxmlformats.org/officeDocument/2006/relationships/image" Target="../media/image11.png"/><Relationship Id="rId13" Type="http://schemas.openxmlformats.org/officeDocument/2006/relationships/image" Target="../media/image12.png"/><Relationship Id="rId14" Type="http://schemas.openxmlformats.org/officeDocument/2006/relationships/image" Target="../media/image13.png"/><Relationship Id="rId15" Type="http://schemas.openxmlformats.org/officeDocument/2006/relationships/image" Target="../media/image14.png"/><Relationship Id="rId16" Type="http://schemas.openxmlformats.org/officeDocument/2006/relationships/image" Target="../media/image15.png"/><Relationship Id="rId17" Type="http://schemas.openxmlformats.org/officeDocument/2006/relationships/image" Target="../media/image16.png"/><Relationship Id="rId18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71</xdr:row>
      <xdr:rowOff>0</xdr:rowOff>
    </xdr:from>
    <xdr:to>
      <xdr:col>1</xdr:col>
      <xdr:colOff>22842</xdr:colOff>
      <xdr:row>71</xdr:row>
      <xdr:rowOff>294679</xdr:rowOff>
    </xdr:to>
    <xdr:pic>
      <xdr:nvPicPr>
        <xdr:cNvPr id="2" name="image11.png" descr=" "/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20057122"/>
          <a:ext cx="1017141" cy="294642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22842</xdr:colOff>
      <xdr:row>72</xdr:row>
      <xdr:rowOff>284857</xdr:rowOff>
    </xdr:to>
    <xdr:pic>
      <xdr:nvPicPr>
        <xdr:cNvPr id="3" name="image17.png" descr=" "/>
        <xdr:cNvPicPr/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0" y="20371408"/>
          <a:ext cx="1017141" cy="28482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</xdr:col>
      <xdr:colOff>22842</xdr:colOff>
      <xdr:row>73</xdr:row>
      <xdr:rowOff>284857</xdr:rowOff>
    </xdr:to>
    <xdr:pic>
      <xdr:nvPicPr>
        <xdr:cNvPr id="4" name="image16.png" descr=" "/>
        <xdr:cNvPicPr/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0" y="20685694"/>
          <a:ext cx="1017141" cy="28482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22842</xdr:colOff>
      <xdr:row>74</xdr:row>
      <xdr:rowOff>294679</xdr:rowOff>
    </xdr:to>
    <xdr:pic>
      <xdr:nvPicPr>
        <xdr:cNvPr id="5" name="image25.png" descr=" "/>
        <xdr:cNvPicPr/>
      </xdr:nvPicPr>
      <xdr:blipFill>
        <a:blip xmlns:r="http://schemas.openxmlformats.org/officeDocument/2006/relationships" r:embed="rId4"/>
        <a:srcRect/>
        <a:stretch>
          <a:fillRect/>
        </a:stretch>
      </xdr:blipFill>
      <xdr:spPr>
        <a:xfrm>
          <a:off x="0" y="20999978"/>
          <a:ext cx="1017141" cy="294642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</xdr:col>
      <xdr:colOff>22842</xdr:colOff>
      <xdr:row>75</xdr:row>
      <xdr:rowOff>284857</xdr:rowOff>
    </xdr:to>
    <xdr:pic>
      <xdr:nvPicPr>
        <xdr:cNvPr id="6" name="image8.png" descr=" "/>
        <xdr:cNvPicPr/>
      </xdr:nvPicPr>
      <xdr:blipFill>
        <a:blip xmlns:r="http://schemas.openxmlformats.org/officeDocument/2006/relationships" r:embed="rId5"/>
        <a:srcRect/>
        <a:stretch>
          <a:fillRect/>
        </a:stretch>
      </xdr:blipFill>
      <xdr:spPr>
        <a:xfrm>
          <a:off x="0" y="21314264"/>
          <a:ext cx="1017141" cy="28482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</xdr:col>
      <xdr:colOff>22842</xdr:colOff>
      <xdr:row>76</xdr:row>
      <xdr:rowOff>304502</xdr:rowOff>
    </xdr:to>
    <xdr:pic>
      <xdr:nvPicPr>
        <xdr:cNvPr id="7" name="image22.png" descr=" "/>
        <xdr:cNvPicPr/>
      </xdr:nvPicPr>
      <xdr:blipFill>
        <a:blip xmlns:r="http://schemas.openxmlformats.org/officeDocument/2006/relationships" r:embed="rId6"/>
        <a:srcRect/>
        <a:stretch>
          <a:fillRect/>
        </a:stretch>
      </xdr:blipFill>
      <xdr:spPr>
        <a:xfrm>
          <a:off x="0" y="21628550"/>
          <a:ext cx="1017141" cy="304464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</xdr:col>
      <xdr:colOff>22842</xdr:colOff>
      <xdr:row>77</xdr:row>
      <xdr:rowOff>284857</xdr:rowOff>
    </xdr:to>
    <xdr:pic>
      <xdr:nvPicPr>
        <xdr:cNvPr id="8" name="image10.png" descr=" "/>
        <xdr:cNvPicPr/>
      </xdr:nvPicPr>
      <xdr:blipFill>
        <a:blip xmlns:r="http://schemas.openxmlformats.org/officeDocument/2006/relationships" r:embed="rId7"/>
        <a:srcRect/>
        <a:stretch>
          <a:fillRect/>
        </a:stretch>
      </xdr:blipFill>
      <xdr:spPr>
        <a:xfrm>
          <a:off x="0" y="21942834"/>
          <a:ext cx="1017141" cy="284822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22842</xdr:colOff>
      <xdr:row>78</xdr:row>
      <xdr:rowOff>275034</xdr:rowOff>
    </xdr:to>
    <xdr:pic>
      <xdr:nvPicPr>
        <xdr:cNvPr id="9" name="image12.png" descr=" "/>
        <xdr:cNvPicPr/>
      </xdr:nvPicPr>
      <xdr:blipFill>
        <a:blip xmlns:r="http://schemas.openxmlformats.org/officeDocument/2006/relationships" r:embed="rId8"/>
        <a:srcRect/>
        <a:stretch>
          <a:fillRect/>
        </a:stretch>
      </xdr:blipFill>
      <xdr:spPr>
        <a:xfrm>
          <a:off x="0" y="22257120"/>
          <a:ext cx="1017141" cy="27500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</xdr:col>
      <xdr:colOff>22842</xdr:colOff>
      <xdr:row>79</xdr:row>
      <xdr:rowOff>294679</xdr:rowOff>
    </xdr:to>
    <xdr:pic>
      <xdr:nvPicPr>
        <xdr:cNvPr id="10" name="image21.png" descr=" "/>
        <xdr:cNvPicPr/>
      </xdr:nvPicPr>
      <xdr:blipFill>
        <a:blip xmlns:r="http://schemas.openxmlformats.org/officeDocument/2006/relationships" r:embed="rId9"/>
        <a:srcRect/>
        <a:stretch>
          <a:fillRect/>
        </a:stretch>
      </xdr:blipFill>
      <xdr:spPr>
        <a:xfrm>
          <a:off x="0" y="22571406"/>
          <a:ext cx="1017141" cy="294642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</xdr:col>
      <xdr:colOff>22842</xdr:colOff>
      <xdr:row>80</xdr:row>
      <xdr:rowOff>294679</xdr:rowOff>
    </xdr:to>
    <xdr:pic>
      <xdr:nvPicPr>
        <xdr:cNvPr id="11" name="image20.png" descr=" "/>
        <xdr:cNvPicPr/>
      </xdr:nvPicPr>
      <xdr:blipFill>
        <a:blip xmlns:r="http://schemas.openxmlformats.org/officeDocument/2006/relationships" r:embed="rId10"/>
        <a:srcRect/>
        <a:stretch>
          <a:fillRect/>
        </a:stretch>
      </xdr:blipFill>
      <xdr:spPr>
        <a:xfrm>
          <a:off x="0" y="22885690"/>
          <a:ext cx="1017141" cy="294644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22842</xdr:colOff>
      <xdr:row>81</xdr:row>
      <xdr:rowOff>284857</xdr:rowOff>
    </xdr:to>
    <xdr:pic>
      <xdr:nvPicPr>
        <xdr:cNvPr id="12" name="image24.png" descr=" "/>
        <xdr:cNvPicPr/>
      </xdr:nvPicPr>
      <xdr:blipFill>
        <a:blip xmlns:r="http://schemas.openxmlformats.org/officeDocument/2006/relationships" r:embed="rId11"/>
        <a:srcRect/>
        <a:stretch>
          <a:fillRect/>
        </a:stretch>
      </xdr:blipFill>
      <xdr:spPr>
        <a:xfrm>
          <a:off x="0" y="23199976"/>
          <a:ext cx="1017141" cy="284822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22842</xdr:colOff>
      <xdr:row>82</xdr:row>
      <xdr:rowOff>294679</xdr:rowOff>
    </xdr:to>
    <xdr:pic>
      <xdr:nvPicPr>
        <xdr:cNvPr id="13" name="image18.png" descr=" "/>
        <xdr:cNvPicPr/>
      </xdr:nvPicPr>
      <xdr:blipFill>
        <a:blip xmlns:r="http://schemas.openxmlformats.org/officeDocument/2006/relationships" r:embed="rId12"/>
        <a:srcRect/>
        <a:stretch>
          <a:fillRect/>
        </a:stretch>
      </xdr:blipFill>
      <xdr:spPr>
        <a:xfrm>
          <a:off x="0" y="23514262"/>
          <a:ext cx="1017141" cy="294642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22842</xdr:colOff>
      <xdr:row>83</xdr:row>
      <xdr:rowOff>304502</xdr:rowOff>
    </xdr:to>
    <xdr:pic>
      <xdr:nvPicPr>
        <xdr:cNvPr id="14" name="image14.png" descr=" "/>
        <xdr:cNvPicPr/>
      </xdr:nvPicPr>
      <xdr:blipFill>
        <a:blip xmlns:r="http://schemas.openxmlformats.org/officeDocument/2006/relationships" r:embed="rId13"/>
        <a:srcRect/>
        <a:stretch>
          <a:fillRect/>
        </a:stretch>
      </xdr:blipFill>
      <xdr:spPr>
        <a:xfrm>
          <a:off x="0" y="23828546"/>
          <a:ext cx="1017141" cy="304464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22842</xdr:colOff>
      <xdr:row>84</xdr:row>
      <xdr:rowOff>284857</xdr:rowOff>
    </xdr:to>
    <xdr:pic>
      <xdr:nvPicPr>
        <xdr:cNvPr id="15" name="image15.png" descr=" "/>
        <xdr:cNvPicPr/>
      </xdr:nvPicPr>
      <xdr:blipFill>
        <a:blip xmlns:r="http://schemas.openxmlformats.org/officeDocument/2006/relationships" r:embed="rId14"/>
        <a:srcRect/>
        <a:stretch>
          <a:fillRect/>
        </a:stretch>
      </xdr:blipFill>
      <xdr:spPr>
        <a:xfrm>
          <a:off x="0" y="24142832"/>
          <a:ext cx="1017141" cy="284822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1</xdr:col>
      <xdr:colOff>22842</xdr:colOff>
      <xdr:row>95</xdr:row>
      <xdr:rowOff>294679</xdr:rowOff>
    </xdr:to>
    <xdr:pic>
      <xdr:nvPicPr>
        <xdr:cNvPr id="16" name="image23.png" descr=" "/>
        <xdr:cNvPicPr/>
      </xdr:nvPicPr>
      <xdr:blipFill>
        <a:blip xmlns:r="http://schemas.openxmlformats.org/officeDocument/2006/relationships" r:embed="rId15"/>
        <a:srcRect/>
        <a:stretch>
          <a:fillRect/>
        </a:stretch>
      </xdr:blipFill>
      <xdr:spPr>
        <a:xfrm>
          <a:off x="0" y="26752354"/>
          <a:ext cx="1017141" cy="294642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1</xdr:col>
      <xdr:colOff>22842</xdr:colOff>
      <xdr:row>96</xdr:row>
      <xdr:rowOff>294679</xdr:rowOff>
    </xdr:to>
    <xdr:pic>
      <xdr:nvPicPr>
        <xdr:cNvPr id="17" name="image13.png" descr=" "/>
        <xdr:cNvPicPr/>
      </xdr:nvPicPr>
      <xdr:blipFill>
        <a:blip xmlns:r="http://schemas.openxmlformats.org/officeDocument/2006/relationships" r:embed="rId16"/>
        <a:srcRect/>
        <a:stretch>
          <a:fillRect/>
        </a:stretch>
      </xdr:blipFill>
      <xdr:spPr>
        <a:xfrm>
          <a:off x="0" y="27066638"/>
          <a:ext cx="1017141" cy="294644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1</xdr:col>
      <xdr:colOff>22842</xdr:colOff>
      <xdr:row>97</xdr:row>
      <xdr:rowOff>304502</xdr:rowOff>
    </xdr:to>
    <xdr:pic>
      <xdr:nvPicPr>
        <xdr:cNvPr id="18" name="image9.png" descr=" "/>
        <xdr:cNvPicPr/>
      </xdr:nvPicPr>
      <xdr:blipFill>
        <a:blip xmlns:r="http://schemas.openxmlformats.org/officeDocument/2006/relationships" r:embed="rId17"/>
        <a:srcRect/>
        <a:stretch>
          <a:fillRect/>
        </a:stretch>
      </xdr:blipFill>
      <xdr:spPr>
        <a:xfrm>
          <a:off x="0" y="27380924"/>
          <a:ext cx="1017141" cy="304464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1</xdr:col>
      <xdr:colOff>22842</xdr:colOff>
      <xdr:row>98</xdr:row>
      <xdr:rowOff>284857</xdr:rowOff>
    </xdr:to>
    <xdr:pic>
      <xdr:nvPicPr>
        <xdr:cNvPr id="19" name="image19.png" descr=" "/>
        <xdr:cNvPicPr/>
      </xdr:nvPicPr>
      <xdr:blipFill>
        <a:blip xmlns:r="http://schemas.openxmlformats.org/officeDocument/2006/relationships" r:embed="rId18"/>
        <a:srcRect/>
        <a:stretch>
          <a:fillRect/>
        </a:stretch>
      </xdr:blipFill>
      <xdr:spPr>
        <a:xfrm>
          <a:off x="0" y="27695210"/>
          <a:ext cx="1017141" cy="284820"/>
        </a:xfrm>
        <a:prstGeom prst="rect">
          <a:avLst/>
        </a:prstGeom>
        <a:noFill/>
        <a:ln>
          <a:noFill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:r="http://schemas.openxmlformats.org/officeDocument/2006/relationships" xmlns="http://schemas.openxmlformats.org/spreadsheetml/2006/main">
  <sheetPr>
    <pageSetUpPr fitToPage="1"/>
  </sheetPr>
  <dimension ref="A1:AP163"/>
  <sheetViews>
    <sheetView tabSelected="1" workbookViewId="0" zoomScale="74">
      <selection activeCell="A4" sqref="A4"/>
    </sheetView>
  </sheetViews>
  <sheetFormatPr defaultRowHeight="15.0" customHeight="1" defaultColWidth="12"/>
  <cols>
    <col min="1" max="1" customWidth="1" width="12.628906" style="0"/>
    <col min="2" max="2" customWidth="1" width="12.378906" style="0"/>
    <col min="3" max="3" customWidth="1" width="28.0" style="0"/>
    <col min="4" max="4" customWidth="1" width="15.628906" style="0"/>
    <col min="5" max="5" customWidth="1" width="8.378906" style="0"/>
    <col min="6" max="6" customWidth="1" width="12.0" style="0"/>
    <col min="7" max="7" customWidth="1" width="8.378906" style="0"/>
    <col min="8" max="8" customWidth="1" width="11.25" style="0"/>
    <col min="9" max="9" customWidth="1" width="8.378906" style="0"/>
    <col min="10" max="10" customWidth="1" width="11.128906" style="0"/>
    <col min="11" max="11" customWidth="1" width="8.378906" style="0"/>
    <col min="12" max="12" customWidth="1" width="10.75" style="0"/>
    <col min="13" max="13" customWidth="1" width="8.378906" style="0"/>
    <col min="14" max="14" customWidth="1" width="11.128906" style="0"/>
    <col min="15" max="15" customWidth="1" width="8.378906" style="0"/>
    <col min="16" max="16" customWidth="1" width="11.128906" style="0"/>
    <col min="17" max="17" customWidth="1" width="8.378906" style="0"/>
    <col min="18" max="18" customWidth="1" width="10.5" style="0"/>
    <col min="19" max="19" customWidth="1" width="8.378906" style="0"/>
    <col min="20" max="20" customWidth="1" width="11.5" style="0"/>
    <col min="21" max="21" customWidth="1" width="14.25" style="0"/>
    <col min="22" max="22" customWidth="1" width="12.878906" style="0"/>
    <col min="23" max="23" customWidth="1" width="13.25" style="0"/>
    <col min="24" max="24" customWidth="1" width="12.5" style="0"/>
    <col min="25" max="28" customWidth="1" width="14.0" style="0"/>
    <col min="29" max="35" customWidth="1" width="15.628906" style="0"/>
    <col min="36" max="36" customWidth="1" width="16.128906" style="0"/>
    <col min="37" max="37" customWidth="1" width="7.8789062" style="0"/>
    <col min="38" max="41" customWidth="1" width="14.128906" style="0"/>
  </cols>
  <sheetData>
    <row r="1" spans="8:8" ht="28.85" customHeight="1">
      <c r="A1" s="1" t="s">
        <v>316</v>
      </c>
      <c r="B1" s="2" t="s">
        <v>1594</v>
      </c>
      <c r="C1" s="3"/>
      <c r="D1" s="4"/>
      <c r="E1" s="4"/>
      <c r="F1" s="4"/>
      <c r="G1" s="4"/>
      <c r="H1" s="4"/>
      <c r="I1" s="4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AI1" s="3"/>
      <c r="AJ1" s="5"/>
      <c r="AK1" s="3"/>
      <c r="AL1" s="3"/>
      <c r="AM1" s="3"/>
      <c r="AN1" s="3"/>
      <c r="AO1" s="3"/>
    </row>
    <row r="2" spans="8:8" ht="36.1" customHeight="1">
      <c r="A2" s="3"/>
      <c r="B2" s="3"/>
      <c r="C2" s="6" t="s">
        <v>1210</v>
      </c>
      <c r="D2" s="7" t="s">
        <v>319</v>
      </c>
      <c r="G2" s="7"/>
      <c r="H2" s="7"/>
      <c r="I2" s="7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AI2" s="3"/>
      <c r="AJ2" s="5"/>
      <c r="AK2" s="3"/>
      <c r="AL2" s="3"/>
      <c r="AM2" s="3"/>
      <c r="AN2" s="3"/>
      <c r="AO2" s="3"/>
    </row>
    <row r="3" spans="8:8" ht="15.0">
      <c r="A3" s="8"/>
      <c r="B3" s="8"/>
      <c r="C3" s="9"/>
      <c r="D3" s="8"/>
      <c r="E3" s="8"/>
      <c r="F3" s="8"/>
      <c r="G3" s="8"/>
      <c r="H3" s="8"/>
      <c r="I3" s="8"/>
      <c r="J3" s="10"/>
      <c r="K3" s="10"/>
      <c r="L3" s="10"/>
      <c r="M3" s="10"/>
      <c r="N3" s="10"/>
      <c r="O3" s="10"/>
      <c r="P3" s="10"/>
      <c r="Q3" s="10"/>
      <c r="R3" s="10"/>
      <c r="S3" s="10"/>
      <c r="T3" s="10"/>
      <c r="U3" s="10"/>
      <c r="V3" s="10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  <c r="AJ3" s="11"/>
      <c r="AK3" s="4"/>
      <c r="AL3" s="4"/>
      <c r="AM3" s="4"/>
      <c r="AN3" s="4"/>
      <c r="AO3" s="4"/>
    </row>
    <row r="4" spans="8:8" ht="15.0">
      <c r="A4" s="8"/>
      <c r="B4" s="8"/>
      <c r="C4" s="9"/>
      <c r="D4" s="8"/>
      <c r="E4" s="8"/>
      <c r="F4" s="8"/>
      <c r="G4" s="8"/>
      <c r="H4" s="8"/>
      <c r="I4" s="8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  <c r="U4" s="10"/>
      <c r="V4" s="10"/>
      <c r="W4" s="11"/>
      <c r="AK4" s="4"/>
      <c r="AL4" s="4"/>
      <c r="AM4" s="4"/>
      <c r="AN4" s="4"/>
      <c r="AO4" s="4"/>
    </row>
    <row r="5" spans="8:8" ht="15.0">
      <c r="A5" s="12"/>
      <c r="B5" s="12"/>
      <c r="C5" s="13" t="s">
        <v>320</v>
      </c>
      <c r="D5" s="14" t="s">
        <v>321</v>
      </c>
      <c r="E5" s="15"/>
      <c r="F5" s="15"/>
      <c r="G5" s="16"/>
      <c r="H5" s="16"/>
      <c r="I5" s="16" t="s">
        <v>322</v>
      </c>
      <c r="J5" s="17" t="s">
        <v>323</v>
      </c>
      <c r="K5" s="16"/>
      <c r="L5" s="16"/>
      <c r="M5" s="16" t="s">
        <v>322</v>
      </c>
      <c r="N5" s="17" t="s">
        <v>324</v>
      </c>
      <c r="O5" s="16"/>
      <c r="P5" s="16"/>
      <c r="Q5" s="16" t="s">
        <v>322</v>
      </c>
      <c r="R5" s="17" t="s">
        <v>325</v>
      </c>
      <c r="S5" s="16" t="s">
        <v>322</v>
      </c>
      <c r="T5" s="17" t="s">
        <v>326</v>
      </c>
      <c r="U5" s="18" t="s">
        <v>327</v>
      </c>
      <c r="V5" s="15"/>
      <c r="W5" s="19"/>
      <c r="X5" s="12"/>
      <c r="Y5" s="12"/>
      <c r="Z5" s="12"/>
      <c r="AA5" s="12"/>
      <c r="AB5" s="12"/>
      <c r="AC5" s="12"/>
      <c r="AD5" s="12"/>
      <c r="AE5" s="12"/>
      <c r="AF5" s="12"/>
      <c r="AG5" s="12"/>
      <c r="AH5" s="12"/>
      <c r="AI5" s="12"/>
      <c r="AJ5" s="12"/>
    </row>
    <row r="6" spans="8:8" ht="24.75" customHeight="1">
      <c r="A6" s="12"/>
      <c r="B6" s="12"/>
      <c r="C6" s="20" t="s">
        <v>328</v>
      </c>
      <c r="D6" s="21">
        <v>200.0</v>
      </c>
      <c r="E6" s="22"/>
      <c r="F6" s="22"/>
      <c r="G6" s="8"/>
      <c r="H6" s="8"/>
      <c r="I6" s="8">
        <f>3</f>
        <v>3.0</v>
      </c>
      <c r="J6" s="8">
        <f>D6*I6</f>
        <v>600.0</v>
      </c>
      <c r="K6" s="8"/>
      <c r="L6" s="8"/>
      <c r="M6" s="8">
        <f>2</f>
        <v>2.0</v>
      </c>
      <c r="N6" s="23">
        <f t="shared" si="0" ref="N6:N7">D6*M6</f>
        <v>400.0</v>
      </c>
      <c r="O6" s="24"/>
      <c r="P6" s="24"/>
      <c r="Q6" s="24"/>
      <c r="R6" s="25"/>
      <c r="S6" s="8">
        <f>10</f>
        <v>10.0</v>
      </c>
      <c r="T6" s="23">
        <f>D6*S6</f>
        <v>2000.0</v>
      </c>
      <c r="U6" s="26">
        <f>10</f>
        <v>10.0</v>
      </c>
      <c r="V6" s="22"/>
      <c r="W6" s="27"/>
      <c r="X6" s="12"/>
      <c r="Y6" s="12"/>
      <c r="Z6" s="12"/>
      <c r="AA6" s="12"/>
      <c r="AB6" s="12"/>
      <c r="AC6" s="12"/>
      <c r="AD6" s="12"/>
      <c r="AE6" s="12"/>
      <c r="AF6" s="12"/>
      <c r="AG6" s="12"/>
      <c r="AH6" s="12"/>
      <c r="AI6" s="12"/>
      <c r="AJ6" s="12"/>
    </row>
    <row r="7" spans="8:8" ht="24.75" customHeight="1">
      <c r="A7" s="12"/>
      <c r="B7" s="12"/>
      <c r="C7" s="20" t="s">
        <v>328</v>
      </c>
      <c r="D7" s="21">
        <v>150.0</v>
      </c>
      <c r="E7" s="22"/>
      <c r="F7" s="22"/>
      <c r="G7" s="24"/>
      <c r="H7" s="24"/>
      <c r="I7" s="24"/>
      <c r="J7" s="24"/>
      <c r="K7" s="8"/>
      <c r="L7" s="8"/>
      <c r="M7" s="8">
        <f>8</f>
        <v>8.0</v>
      </c>
      <c r="N7" s="23">
        <f t="shared" si="0"/>
        <v>1200.0</v>
      </c>
      <c r="O7" s="8"/>
      <c r="P7" s="8"/>
      <c r="Q7" s="8">
        <f>4</f>
        <v>4.0</v>
      </c>
      <c r="R7" s="23">
        <f>D7*Q7</f>
        <v>600.0</v>
      </c>
      <c r="S7" s="24"/>
      <c r="T7" s="25"/>
      <c r="U7" s="26"/>
      <c r="V7" s="22"/>
      <c r="W7" s="27"/>
      <c r="X7" s="12"/>
      <c r="Y7" s="12"/>
      <c r="Z7" s="12"/>
      <c r="AA7" s="12"/>
      <c r="AB7" s="12"/>
      <c r="AC7" s="12"/>
      <c r="AD7" s="12"/>
      <c r="AE7" s="12"/>
      <c r="AF7" s="12"/>
      <c r="AG7" s="12"/>
      <c r="AH7" s="12"/>
      <c r="AI7" s="12"/>
      <c r="AJ7" s="12"/>
    </row>
    <row r="8" spans="8:8" ht="24.75" customHeight="1">
      <c r="A8" s="12"/>
      <c r="B8" s="12"/>
      <c r="C8" s="28" t="s">
        <v>329</v>
      </c>
      <c r="D8" s="21">
        <v>200.0</v>
      </c>
      <c r="E8" s="22"/>
      <c r="F8" s="22"/>
      <c r="G8" s="24"/>
      <c r="H8" s="24"/>
      <c r="I8" s="24"/>
      <c r="J8" s="24"/>
      <c r="K8" s="24"/>
      <c r="L8" s="24"/>
      <c r="M8" s="24"/>
      <c r="N8" s="25"/>
      <c r="O8" s="24"/>
      <c r="P8" s="24"/>
      <c r="Q8" s="24"/>
      <c r="R8" s="25"/>
      <c r="S8" s="24"/>
      <c r="T8" s="25"/>
      <c r="U8" s="26">
        <f>13</f>
        <v>13.0</v>
      </c>
      <c r="V8" s="22"/>
      <c r="W8" s="27"/>
      <c r="X8" s="12" t="s">
        <v>18</v>
      </c>
      <c r="Y8" s="12"/>
      <c r="Z8" s="12"/>
      <c r="AA8" s="12"/>
      <c r="AB8" s="12"/>
      <c r="AC8" s="12"/>
      <c r="AD8" s="12"/>
      <c r="AE8" s="12"/>
      <c r="AF8" s="12"/>
      <c r="AG8" s="12"/>
      <c r="AH8" s="12"/>
      <c r="AI8" s="12"/>
      <c r="AJ8" s="12"/>
    </row>
    <row r="9" spans="8:8" ht="24.75" customHeight="1">
      <c r="A9" s="12"/>
      <c r="B9" s="12"/>
      <c r="C9" s="28" t="s">
        <v>330</v>
      </c>
      <c r="D9" s="21">
        <v>200.0</v>
      </c>
      <c r="E9" s="22"/>
      <c r="F9" s="22"/>
      <c r="G9" s="24"/>
      <c r="H9" s="24"/>
      <c r="I9" s="24"/>
      <c r="J9" s="24"/>
      <c r="K9" s="24"/>
      <c r="L9" s="24"/>
      <c r="M9" s="24"/>
      <c r="N9" s="25"/>
      <c r="O9" s="24"/>
      <c r="P9" s="24"/>
      <c r="Q9" s="24"/>
      <c r="R9" s="25"/>
      <c r="S9" s="8">
        <f>4</f>
        <v>4.0</v>
      </c>
      <c r="T9" s="23">
        <f>D9*S9</f>
        <v>800.0</v>
      </c>
      <c r="U9" s="26">
        <f>6-1</f>
        <v>5.0</v>
      </c>
      <c r="V9" s="22"/>
      <c r="W9" s="27"/>
      <c r="X9" s="12"/>
      <c r="Y9" s="12"/>
      <c r="Z9" s="12"/>
      <c r="AA9" s="12"/>
      <c r="AB9" s="12"/>
      <c r="AC9" s="12"/>
      <c r="AD9" s="12"/>
      <c r="AE9" s="12"/>
      <c r="AF9" s="12"/>
      <c r="AG9" s="12"/>
      <c r="AH9" s="12"/>
      <c r="AI9" s="12"/>
      <c r="AJ9" s="12"/>
    </row>
    <row r="10" spans="8:8" ht="24.75" customHeight="1">
      <c r="A10" s="12"/>
      <c r="B10" s="12"/>
      <c r="C10" s="28" t="s">
        <v>331</v>
      </c>
      <c r="D10" s="21">
        <v>200.0</v>
      </c>
      <c r="E10" s="22"/>
      <c r="F10" s="22"/>
      <c r="G10" s="24"/>
      <c r="H10" s="24"/>
      <c r="I10" s="24"/>
      <c r="J10" s="24"/>
      <c r="K10" s="24"/>
      <c r="L10" s="24"/>
      <c r="M10" s="24"/>
      <c r="N10" s="25"/>
      <c r="O10" s="24"/>
      <c r="P10" s="24"/>
      <c r="Q10" s="24"/>
      <c r="R10" s="25"/>
      <c r="S10" s="24"/>
      <c r="T10" s="25"/>
      <c r="U10" s="26">
        <f>3</f>
        <v>3.0</v>
      </c>
      <c r="V10" s="22"/>
      <c r="W10" s="27"/>
      <c r="X10" s="12"/>
      <c r="Y10" s="12"/>
      <c r="Z10" s="12"/>
      <c r="AA10" s="12"/>
      <c r="AB10" s="12"/>
      <c r="AC10" s="12"/>
      <c r="AD10" s="12"/>
      <c r="AE10" s="12"/>
      <c r="AF10" s="12"/>
      <c r="AG10" s="12"/>
      <c r="AH10" s="12"/>
      <c r="AI10" s="12"/>
      <c r="AJ10" s="12"/>
    </row>
    <row r="11" spans="8:8" ht="24.75" customHeight="1">
      <c r="A11" s="12"/>
      <c r="B11" s="12"/>
      <c r="C11" s="29" t="s">
        <v>332</v>
      </c>
      <c r="D11" s="30">
        <v>200.0</v>
      </c>
      <c r="E11" s="31"/>
      <c r="F11" s="31"/>
      <c r="G11" s="32"/>
      <c r="H11" s="32"/>
      <c r="I11" s="32"/>
      <c r="J11" s="32"/>
      <c r="K11" s="32"/>
      <c r="L11" s="32"/>
      <c r="M11" s="32"/>
      <c r="N11" s="33"/>
      <c r="O11" s="32"/>
      <c r="P11" s="32"/>
      <c r="Q11" s="32"/>
      <c r="R11" s="33"/>
      <c r="S11" s="32"/>
      <c r="T11" s="33"/>
      <c r="U11" s="34">
        <f>10</f>
        <v>10.0</v>
      </c>
      <c r="V11" s="31"/>
      <c r="W11" s="35"/>
      <c r="X11" s="12"/>
      <c r="Y11" s="12"/>
      <c r="Z11" s="12"/>
      <c r="AA11" s="12"/>
      <c r="AB11" s="12"/>
      <c r="AC11" s="12"/>
      <c r="AD11" s="12"/>
      <c r="AE11" s="12"/>
      <c r="AF11" s="12"/>
      <c r="AG11" s="12"/>
      <c r="AH11" s="12"/>
      <c r="AI11" s="12"/>
      <c r="AJ11" s="12"/>
    </row>
    <row r="12" spans="8:8" ht="15.0">
      <c r="A12" s="12"/>
      <c r="B12" s="12"/>
      <c r="C12" s="12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12"/>
      <c r="Y12" s="12"/>
      <c r="Z12" s="12"/>
      <c r="AA12" s="12"/>
      <c r="AB12" s="12"/>
      <c r="AC12" s="12"/>
      <c r="AD12" s="12"/>
      <c r="AE12" s="12"/>
      <c r="AF12" s="12"/>
      <c r="AG12" s="12"/>
      <c r="AH12" s="12"/>
      <c r="AI12" s="12"/>
      <c r="AJ12" s="12"/>
    </row>
    <row r="13" spans="8:8" ht="15.0">
      <c r="A13" s="12"/>
      <c r="B13" s="12"/>
      <c r="C13" s="9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12"/>
      <c r="V13" s="12"/>
      <c r="W13" s="12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  <c r="AJ13" s="11"/>
    </row>
    <row r="14" spans="8:8" ht="15.0">
      <c r="A14" s="12"/>
      <c r="B14" s="12"/>
      <c r="C14" s="9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/>
      <c r="T14" s="8"/>
      <c r="U14" s="12"/>
      <c r="V14" s="12"/>
      <c r="W14" s="12"/>
      <c r="X14" s="11"/>
    </row>
    <row r="15" spans="8:8" ht="15.0">
      <c r="A15" s="12"/>
      <c r="B15" s="12" t="s">
        <v>18</v>
      </c>
      <c r="C15" s="36" t="s">
        <v>333</v>
      </c>
      <c r="D15" s="37" t="s">
        <v>321</v>
      </c>
      <c r="E15" s="38" t="s">
        <v>322</v>
      </c>
      <c r="F15" s="39" t="s">
        <v>334</v>
      </c>
      <c r="G15" s="40" t="s">
        <v>322</v>
      </c>
      <c r="H15" s="41" t="s">
        <v>1211</v>
      </c>
      <c r="I15" s="42" t="s">
        <v>322</v>
      </c>
      <c r="J15" s="39" t="s">
        <v>323</v>
      </c>
      <c r="K15" s="43" t="s">
        <v>322</v>
      </c>
      <c r="L15" s="44" t="s">
        <v>1212</v>
      </c>
      <c r="M15" s="42" t="s">
        <v>322</v>
      </c>
      <c r="N15" s="39" t="s">
        <v>324</v>
      </c>
      <c r="O15" s="43" t="s">
        <v>322</v>
      </c>
      <c r="P15" s="45" t="s">
        <v>1213</v>
      </c>
      <c r="Q15" s="42" t="s">
        <v>322</v>
      </c>
      <c r="R15" s="39" t="s">
        <v>325</v>
      </c>
      <c r="S15" s="42" t="s">
        <v>322</v>
      </c>
      <c r="T15" s="46" t="s">
        <v>326</v>
      </c>
      <c r="U15" s="47" t="s">
        <v>335</v>
      </c>
      <c r="V15" s="43" t="s">
        <v>336</v>
      </c>
      <c r="W15" s="42" t="s">
        <v>335</v>
      </c>
      <c r="X15" s="48" t="s">
        <v>337</v>
      </c>
      <c r="Y15" s="49"/>
      <c r="Z15" s="49"/>
      <c r="AA15" s="49"/>
      <c r="AB15" s="49"/>
      <c r="AC15" s="49"/>
      <c r="AD15" s="49"/>
      <c r="AE15" s="49"/>
      <c r="AF15" s="49"/>
      <c r="AG15" s="49"/>
      <c r="AH15" s="49"/>
      <c r="AI15" s="49"/>
      <c r="AJ15" s="8"/>
    </row>
    <row r="16" spans="8:8" ht="24.75" customHeight="1">
      <c r="A16" s="12"/>
      <c r="B16" s="12" t="s">
        <v>117</v>
      </c>
      <c r="C16" s="50" t="s">
        <v>328</v>
      </c>
      <c r="D16" s="51">
        <v>300.0</v>
      </c>
      <c r="E16" s="52">
        <f>3-1-2</f>
        <v>0.0</v>
      </c>
      <c r="F16" s="53">
        <f t="shared" si="1" ref="F16:F21">E16*D16</f>
        <v>0.0</v>
      </c>
      <c r="G16" s="54"/>
      <c r="H16" s="54"/>
      <c r="I16" s="53"/>
      <c r="J16" s="53"/>
      <c r="K16" s="54"/>
      <c r="L16" s="54"/>
      <c r="M16" s="53">
        <f>6-1-1-1-1-1-1</f>
        <v>0.0</v>
      </c>
      <c r="N16" s="55">
        <f t="shared" si="2" ref="N16:N20">M16*D16</f>
        <v>0.0</v>
      </c>
      <c r="O16" s="54"/>
      <c r="P16" s="54"/>
      <c r="Q16" s="53">
        <f>4-2-1-1</f>
        <v>0.0</v>
      </c>
      <c r="R16" s="55">
        <f>Q16*D16</f>
        <v>0.0</v>
      </c>
      <c r="S16" s="53">
        <f>2-1-1</f>
        <v>0.0</v>
      </c>
      <c r="T16" s="56">
        <f>D16*S16</f>
        <v>0.0</v>
      </c>
      <c r="U16" s="57"/>
      <c r="V16" s="53"/>
      <c r="W16" s="53"/>
      <c r="X16" s="58"/>
      <c r="Y16" s="8"/>
      <c r="Z16" s="8"/>
      <c r="AA16" s="8"/>
      <c r="AB16" s="8"/>
      <c r="AC16" s="8"/>
      <c r="AD16" s="8"/>
      <c r="AE16" s="8"/>
      <c r="AF16" s="8"/>
      <c r="AG16" s="8"/>
      <c r="AH16" s="8"/>
      <c r="AI16" s="8"/>
      <c r="AJ16" s="8"/>
    </row>
    <row r="17" spans="8:8" ht="24.75" customHeight="1">
      <c r="A17" s="12"/>
      <c r="B17" s="59" t="s">
        <v>148</v>
      </c>
      <c r="C17" s="60" t="s">
        <v>329</v>
      </c>
      <c r="D17" s="51">
        <v>300.0</v>
      </c>
      <c r="E17" s="61">
        <f>1</f>
        <v>1.0</v>
      </c>
      <c r="F17" s="62">
        <f t="shared" si="1"/>
        <v>300.0</v>
      </c>
      <c r="G17" s="54"/>
      <c r="H17" s="54"/>
      <c r="I17" s="53"/>
      <c r="J17" s="55"/>
      <c r="K17" s="54"/>
      <c r="L17" s="54"/>
      <c r="M17" s="63">
        <f>2-1-1</f>
        <v>0.0</v>
      </c>
      <c r="N17" s="62">
        <f t="shared" si="2"/>
        <v>0.0</v>
      </c>
      <c r="O17" s="54"/>
      <c r="P17" s="54"/>
      <c r="Q17" s="53"/>
      <c r="R17" s="55"/>
      <c r="S17" s="53"/>
      <c r="T17" s="56"/>
      <c r="U17" s="64">
        <f>21</f>
        <v>21.0</v>
      </c>
      <c r="V17" s="63">
        <f>U17*30</f>
        <v>630.0</v>
      </c>
      <c r="W17" s="63">
        <f>19</f>
        <v>19.0</v>
      </c>
      <c r="X17" s="65">
        <f>W17*20</f>
        <v>380.0</v>
      </c>
      <c r="Y17" s="8"/>
      <c r="Z17" s="8"/>
      <c r="AA17" s="8"/>
      <c r="AB17" s="8"/>
      <c r="AC17" s="8"/>
      <c r="AD17" s="8"/>
      <c r="AE17" s="8"/>
      <c r="AF17" s="8"/>
      <c r="AG17" s="8"/>
      <c r="AH17" s="8"/>
      <c r="AI17" s="8"/>
      <c r="AJ17" s="8"/>
    </row>
    <row r="18" spans="8:8" ht="24.75" customHeight="1">
      <c r="A18" s="12"/>
      <c r="B18" s="59"/>
      <c r="C18" s="66" t="s">
        <v>339</v>
      </c>
      <c r="D18" s="51">
        <v>200.0</v>
      </c>
      <c r="E18" s="61">
        <f>10-2</f>
        <v>8.0</v>
      </c>
      <c r="F18" s="62">
        <f t="shared" si="1"/>
        <v>1600.0</v>
      </c>
      <c r="G18" s="54"/>
      <c r="H18" s="54"/>
      <c r="I18" s="63">
        <f>14-1</f>
        <v>13.0</v>
      </c>
      <c r="J18" s="62">
        <f t="shared" si="3" ref="J18:J20">I18*D18</f>
        <v>2600.0</v>
      </c>
      <c r="K18" s="54"/>
      <c r="L18" s="54"/>
      <c r="M18" s="63">
        <f>9-2</f>
        <v>7.0</v>
      </c>
      <c r="N18" s="62">
        <f t="shared" si="2"/>
        <v>1400.0</v>
      </c>
      <c r="O18" s="54"/>
      <c r="P18" s="54"/>
      <c r="Q18" s="63">
        <f>9-1-1</f>
        <v>7.0</v>
      </c>
      <c r="R18" s="62">
        <f t="shared" si="4" ref="R18:R20">Q18*D18</f>
        <v>1400.0</v>
      </c>
      <c r="S18" s="53"/>
      <c r="T18" s="56"/>
      <c r="U18" s="67"/>
      <c r="V18" s="53"/>
      <c r="W18" s="53"/>
      <c r="X18" s="58"/>
      <c r="Y18" s="8"/>
      <c r="Z18" s="8"/>
      <c r="AA18" s="8"/>
      <c r="AB18" s="8"/>
      <c r="AC18" s="8"/>
      <c r="AD18" s="8"/>
      <c r="AE18" s="8"/>
      <c r="AF18" s="8"/>
      <c r="AG18" s="8"/>
      <c r="AH18" s="8"/>
      <c r="AI18" s="8"/>
      <c r="AJ18" s="8"/>
    </row>
    <row r="19" spans="8:8" ht="24.75" customHeight="1">
      <c r="A19" s="12"/>
      <c r="B19" s="68" t="s">
        <v>340</v>
      </c>
      <c r="C19" s="69" t="s">
        <v>330</v>
      </c>
      <c r="D19" s="51">
        <v>300.0</v>
      </c>
      <c r="E19" s="61">
        <f>11-1-1-1</f>
        <v>8.0</v>
      </c>
      <c r="F19" s="63">
        <f t="shared" si="1"/>
        <v>2400.0</v>
      </c>
      <c r="G19" s="54"/>
      <c r="H19" s="54"/>
      <c r="I19" s="63">
        <f>3-1</f>
        <v>2.0</v>
      </c>
      <c r="J19" s="62">
        <f t="shared" si="3"/>
        <v>600.0</v>
      </c>
      <c r="K19" s="54"/>
      <c r="L19" s="54"/>
      <c r="M19" s="63">
        <f>6-2-1</f>
        <v>3.0</v>
      </c>
      <c r="N19" s="62">
        <f t="shared" si="2"/>
        <v>900.0</v>
      </c>
      <c r="O19" s="54"/>
      <c r="P19" s="54"/>
      <c r="Q19" s="53">
        <f>1-1</f>
        <v>0.0</v>
      </c>
      <c r="R19" s="53">
        <f t="shared" si="4"/>
        <v>0.0</v>
      </c>
      <c r="S19" s="63">
        <f>3+2-3</f>
        <v>2.0</v>
      </c>
      <c r="T19" s="70">
        <f>S19*D19</f>
        <v>600.0</v>
      </c>
      <c r="U19" s="64">
        <f>20</f>
        <v>20.0</v>
      </c>
      <c r="V19" s="63">
        <f>U19*30</f>
        <v>600.0</v>
      </c>
      <c r="W19" s="63">
        <f>22</f>
        <v>22.0</v>
      </c>
      <c r="X19" s="65">
        <f>W19*30</f>
        <v>660.0</v>
      </c>
      <c r="Y19" s="8"/>
      <c r="Z19" s="8"/>
      <c r="AA19" s="8"/>
      <c r="AB19" s="8"/>
      <c r="AC19" s="8"/>
      <c r="AD19" s="8"/>
      <c r="AE19" s="8"/>
      <c r="AF19" s="8"/>
      <c r="AG19" s="8"/>
      <c r="AH19" s="8"/>
      <c r="AI19" s="8"/>
      <c r="AJ19" s="8"/>
    </row>
    <row r="20" spans="8:8" ht="24.75" customHeight="1">
      <c r="A20" s="12"/>
      <c r="B20" s="68"/>
      <c r="C20" s="71" t="s">
        <v>341</v>
      </c>
      <c r="D20" s="51">
        <v>200.0</v>
      </c>
      <c r="E20" s="61">
        <f>10-1</f>
        <v>9.0</v>
      </c>
      <c r="F20" s="63">
        <f t="shared" si="1"/>
        <v>1800.0</v>
      </c>
      <c r="G20" s="54"/>
      <c r="H20" s="54"/>
      <c r="I20" s="63">
        <f>9</f>
        <v>9.0</v>
      </c>
      <c r="J20" s="62">
        <f t="shared" si="3"/>
        <v>1800.0</v>
      </c>
      <c r="K20" s="54"/>
      <c r="L20" s="54"/>
      <c r="M20" s="63">
        <f>10</f>
        <v>10.0</v>
      </c>
      <c r="N20" s="62">
        <f t="shared" si="2"/>
        <v>2000.0</v>
      </c>
      <c r="O20" s="54"/>
      <c r="P20" s="54"/>
      <c r="Q20" s="63">
        <f>11-1</f>
        <v>10.0</v>
      </c>
      <c r="R20" s="62">
        <f t="shared" si="4"/>
        <v>2000.0</v>
      </c>
      <c r="S20" s="53"/>
      <c r="T20" s="58"/>
      <c r="U20" s="67"/>
      <c r="V20" s="53"/>
      <c r="W20" s="53"/>
      <c r="X20" s="58"/>
      <c r="Y20" s="8"/>
      <c r="Z20" s="8"/>
      <c r="AA20" s="8"/>
      <c r="AB20" s="8"/>
      <c r="AC20" s="8"/>
      <c r="AD20" s="8"/>
      <c r="AE20" s="8"/>
      <c r="AF20" s="8"/>
      <c r="AG20" s="8"/>
      <c r="AH20" s="8"/>
      <c r="AI20" s="8"/>
      <c r="AJ20" s="8"/>
    </row>
    <row r="21" spans="8:8" ht="24.75" customHeight="1">
      <c r="A21" s="12"/>
      <c r="B21" s="72" t="s">
        <v>342</v>
      </c>
      <c r="C21" s="73" t="s">
        <v>331</v>
      </c>
      <c r="D21" s="51">
        <v>300.0</v>
      </c>
      <c r="E21" s="52">
        <f>2-1-1</f>
        <v>0.0</v>
      </c>
      <c r="F21" s="53">
        <f t="shared" si="1"/>
        <v>0.0</v>
      </c>
      <c r="G21" s="54"/>
      <c r="H21" s="54"/>
      <c r="I21" s="53"/>
      <c r="J21" s="53"/>
      <c r="K21" s="54"/>
      <c r="L21" s="54"/>
      <c r="M21" s="53"/>
      <c r="N21" s="55"/>
      <c r="O21" s="54"/>
      <c r="P21" s="54"/>
      <c r="Q21" s="53"/>
      <c r="R21" s="53"/>
      <c r="S21" s="53"/>
      <c r="T21" s="58"/>
      <c r="U21" s="64">
        <f>10</f>
        <v>10.0</v>
      </c>
      <c r="V21" s="63">
        <f>U21*30</f>
        <v>300.0</v>
      </c>
      <c r="W21" s="63">
        <f>12</f>
        <v>12.0</v>
      </c>
      <c r="X21" s="65">
        <f>30*W21</f>
        <v>360.0</v>
      </c>
      <c r="Y21" s="8"/>
      <c r="Z21" s="8"/>
      <c r="AA21" s="8"/>
      <c r="AB21" s="8"/>
      <c r="AC21" s="8"/>
      <c r="AD21" s="8"/>
      <c r="AE21" s="8"/>
      <c r="AF21" s="8"/>
      <c r="AG21" s="8"/>
      <c r="AH21" s="8"/>
      <c r="AI21" s="8"/>
      <c r="AJ21" s="8"/>
    </row>
    <row r="22" spans="8:8" ht="24.75" customHeight="1">
      <c r="A22" s="12"/>
      <c r="B22" s="72"/>
      <c r="C22" s="73" t="s">
        <v>343</v>
      </c>
      <c r="D22" s="51">
        <v>200.0</v>
      </c>
      <c r="E22" s="52"/>
      <c r="F22" s="55"/>
      <c r="G22" s="54"/>
      <c r="H22" s="54"/>
      <c r="I22" s="53"/>
      <c r="J22" s="55"/>
      <c r="K22" s="54"/>
      <c r="L22" s="54"/>
      <c r="M22" s="53">
        <f>3-1-1-1</f>
        <v>0.0</v>
      </c>
      <c r="N22" s="55">
        <f t="shared" si="5" ref="N22:N27">M22*D22</f>
        <v>0.0</v>
      </c>
      <c r="O22" s="54"/>
      <c r="P22" s="54"/>
      <c r="Q22" s="53">
        <f>3-1-2</f>
        <v>0.0</v>
      </c>
      <c r="R22" s="55">
        <f t="shared" si="6" ref="R22:R27">Q22*D22</f>
        <v>0.0</v>
      </c>
      <c r="S22" s="53"/>
      <c r="T22" s="56"/>
      <c r="U22" s="67"/>
      <c r="V22" s="53"/>
      <c r="W22" s="53"/>
      <c r="X22" s="58"/>
      <c r="Y22" s="8"/>
      <c r="Z22" s="8"/>
      <c r="AA22" s="8"/>
      <c r="AB22" s="8"/>
      <c r="AC22" s="8"/>
      <c r="AD22" s="8"/>
      <c r="AE22" s="8"/>
      <c r="AF22" s="8"/>
      <c r="AG22" s="8"/>
      <c r="AH22" s="8"/>
      <c r="AI22" s="8"/>
      <c r="AJ22" s="8"/>
      <c r="AL22" s="74"/>
    </row>
    <row r="23" spans="8:8" ht="24.75" customHeight="1">
      <c r="A23" s="12"/>
      <c r="B23" s="12" t="s">
        <v>344</v>
      </c>
      <c r="C23" s="50" t="s">
        <v>332</v>
      </c>
      <c r="D23" s="51">
        <v>300.0</v>
      </c>
      <c r="E23" s="61">
        <f>6</f>
        <v>6.0</v>
      </c>
      <c r="F23" s="62">
        <f t="shared" si="7" ref="F23:F27">E23*D23</f>
        <v>1800.0</v>
      </c>
      <c r="G23" s="63">
        <f>6</f>
        <v>6.0</v>
      </c>
      <c r="H23" s="63">
        <f>G23*D23</f>
        <v>1800.0</v>
      </c>
      <c r="I23" s="63">
        <f>6</f>
        <v>6.0</v>
      </c>
      <c r="J23" s="62">
        <f>I23*D23</f>
        <v>1800.0</v>
      </c>
      <c r="K23" s="63">
        <f>6</f>
        <v>6.0</v>
      </c>
      <c r="L23" s="63">
        <f>K23*D23</f>
        <v>1800.0</v>
      </c>
      <c r="M23" s="63">
        <f>6-1-1</f>
        <v>4.0</v>
      </c>
      <c r="N23" s="62">
        <f t="shared" si="5"/>
        <v>1200.0</v>
      </c>
      <c r="O23" s="63">
        <f>6-1</f>
        <v>5.0</v>
      </c>
      <c r="P23" s="63">
        <f>O23*D23</f>
        <v>1500.0</v>
      </c>
      <c r="Q23" s="63">
        <f>6</f>
        <v>6.0</v>
      </c>
      <c r="R23" s="62">
        <f t="shared" si="6"/>
        <v>1800.0</v>
      </c>
      <c r="S23" s="63">
        <f>3</f>
        <v>3.0</v>
      </c>
      <c r="T23" s="70">
        <f>S23*D23</f>
        <v>900.0</v>
      </c>
      <c r="U23" s="64">
        <f>11</f>
        <v>11.0</v>
      </c>
      <c r="V23" s="63">
        <f>U23*30</f>
        <v>330.0</v>
      </c>
      <c r="W23" s="63">
        <f>11</f>
        <v>11.0</v>
      </c>
      <c r="X23" s="65">
        <f>W23*30</f>
        <v>330.0</v>
      </c>
      <c r="Y23" s="8"/>
      <c r="Z23" s="8"/>
      <c r="AA23" s="8"/>
      <c r="AB23" s="8"/>
      <c r="AC23" s="8"/>
      <c r="AD23" s="8"/>
      <c r="AE23" s="8"/>
      <c r="AF23" s="8"/>
      <c r="AG23" s="8"/>
      <c r="AH23" s="8"/>
      <c r="AI23" s="8"/>
      <c r="AJ23" s="8"/>
      <c r="AL23" s="74" t="s">
        <v>345</v>
      </c>
    </row>
    <row r="24" spans="8:8" ht="24.75" customHeight="1">
      <c r="A24" s="12"/>
      <c r="B24" s="12" t="s">
        <v>148</v>
      </c>
      <c r="C24" s="75" t="s">
        <v>346</v>
      </c>
      <c r="D24" s="51">
        <v>300.0</v>
      </c>
      <c r="E24" s="61">
        <f>3</f>
        <v>3.0</v>
      </c>
      <c r="F24" s="63">
        <f t="shared" si="7"/>
        <v>900.0</v>
      </c>
      <c r="G24" s="54"/>
      <c r="H24" s="54"/>
      <c r="I24" s="53"/>
      <c r="J24" s="53"/>
      <c r="K24" s="54"/>
      <c r="L24" s="54"/>
      <c r="M24" s="63">
        <f>2-1</f>
        <v>1.0</v>
      </c>
      <c r="N24" s="62">
        <f t="shared" si="5"/>
        <v>300.0</v>
      </c>
      <c r="O24" s="54"/>
      <c r="P24" s="54"/>
      <c r="Q24" s="63">
        <f>1</f>
        <v>1.0</v>
      </c>
      <c r="R24" s="63">
        <f t="shared" si="6"/>
        <v>300.0</v>
      </c>
      <c r="S24" s="53"/>
      <c r="T24" s="56"/>
      <c r="U24" s="67"/>
      <c r="V24" s="53"/>
      <c r="W24" s="63">
        <f>10</f>
        <v>10.0</v>
      </c>
      <c r="X24" s="65">
        <f>W24*20</f>
        <v>200.0</v>
      </c>
      <c r="Y24" s="8"/>
      <c r="Z24" s="8"/>
      <c r="AA24" s="8"/>
      <c r="AB24" s="8"/>
      <c r="AC24" s="8"/>
      <c r="AD24" s="8"/>
      <c r="AE24" s="8"/>
      <c r="AF24" s="8"/>
      <c r="AG24" s="8"/>
      <c r="AH24" s="8"/>
      <c r="AI24" s="8"/>
      <c r="AJ24" s="8"/>
    </row>
    <row r="25" spans="8:8" ht="24.75" customHeight="1">
      <c r="A25" s="12"/>
      <c r="B25" s="12" t="s">
        <v>347</v>
      </c>
      <c r="C25" s="50" t="s">
        <v>348</v>
      </c>
      <c r="D25" s="51">
        <v>300.0</v>
      </c>
      <c r="E25" s="61">
        <f>6-1</f>
        <v>5.0</v>
      </c>
      <c r="F25" s="63">
        <f t="shared" si="7"/>
        <v>1500.0</v>
      </c>
      <c r="G25" s="63">
        <f>6</f>
        <v>6.0</v>
      </c>
      <c r="H25" s="63">
        <f>G25*D25</f>
        <v>1800.0</v>
      </c>
      <c r="I25" s="63">
        <f>6</f>
        <v>6.0</v>
      </c>
      <c r="J25" s="63">
        <f>I25*D25</f>
        <v>1800.0</v>
      </c>
      <c r="K25" s="63">
        <f>6</f>
        <v>6.0</v>
      </c>
      <c r="L25" s="63">
        <f>K25*D25</f>
        <v>1800.0</v>
      </c>
      <c r="M25" s="63">
        <f>6</f>
        <v>6.0</v>
      </c>
      <c r="N25" s="62">
        <f t="shared" si="5"/>
        <v>1800.0</v>
      </c>
      <c r="O25" s="63">
        <f>6-1</f>
        <v>5.0</v>
      </c>
      <c r="P25" s="63">
        <f>O25*D25</f>
        <v>1500.0</v>
      </c>
      <c r="Q25" s="63">
        <f>6</f>
        <v>6.0</v>
      </c>
      <c r="R25" s="63">
        <f t="shared" si="6"/>
        <v>1800.0</v>
      </c>
      <c r="S25" s="63">
        <f>3-2</f>
        <v>1.0</v>
      </c>
      <c r="T25" s="70">
        <f t="shared" si="8" ref="T25:T26">S25*D25</f>
        <v>300.0</v>
      </c>
      <c r="U25" s="67"/>
      <c r="V25" s="53"/>
      <c r="W25" s="53"/>
      <c r="X25" s="58"/>
      <c r="Y25" s="8"/>
      <c r="Z25" s="8"/>
      <c r="AA25" s="8"/>
      <c r="AB25" s="8"/>
      <c r="AC25" s="8"/>
      <c r="AD25" s="8"/>
      <c r="AE25" s="8"/>
      <c r="AF25" s="8"/>
      <c r="AG25" s="8"/>
      <c r="AH25" s="8"/>
      <c r="AI25" s="8"/>
      <c r="AJ25" s="8"/>
    </row>
    <row r="26" spans="8:8" ht="24.75" customHeight="1">
      <c r="A26" s="12"/>
      <c r="B26" s="76" t="s">
        <v>349</v>
      </c>
      <c r="C26" s="77" t="s">
        <v>350</v>
      </c>
      <c r="D26" s="51">
        <v>300.0</v>
      </c>
      <c r="E26" s="52">
        <f>5-1-1-3</f>
        <v>0.0</v>
      </c>
      <c r="F26" s="53">
        <f t="shared" si="7"/>
        <v>0.0</v>
      </c>
      <c r="G26" s="54"/>
      <c r="H26" s="54"/>
      <c r="I26" s="53"/>
      <c r="J26" s="53"/>
      <c r="K26" s="54"/>
      <c r="L26" s="54"/>
      <c r="M26" s="53">
        <f>2-1-1</f>
        <v>0.0</v>
      </c>
      <c r="N26" s="53">
        <f t="shared" si="5"/>
        <v>0.0</v>
      </c>
      <c r="O26" s="54"/>
      <c r="P26" s="54"/>
      <c r="Q26" s="53">
        <f>8-1-1-3-1-1-1</f>
        <v>0.0</v>
      </c>
      <c r="R26" s="53">
        <f t="shared" si="6"/>
        <v>0.0</v>
      </c>
      <c r="S26" s="53">
        <f>2-1-1</f>
        <v>0.0</v>
      </c>
      <c r="T26" s="56">
        <f t="shared" si="8"/>
        <v>0.0</v>
      </c>
      <c r="U26" s="67"/>
      <c r="V26" s="53"/>
      <c r="W26" s="53"/>
      <c r="X26" s="58"/>
      <c r="Y26" s="8"/>
      <c r="Z26" s="8"/>
      <c r="AA26" s="8"/>
      <c r="AB26" s="8"/>
      <c r="AC26" s="8"/>
      <c r="AD26" s="8"/>
      <c r="AE26" s="8"/>
      <c r="AF26" s="8"/>
      <c r="AG26" s="8"/>
      <c r="AH26" s="8"/>
      <c r="AI26" s="8"/>
      <c r="AJ26" s="8"/>
    </row>
    <row r="27" spans="8:8" ht="15.75" customHeight="1">
      <c r="A27" s="12"/>
      <c r="B27" s="76"/>
      <c r="C27" s="78" t="s">
        <v>351</v>
      </c>
      <c r="D27" s="51">
        <v>200.0</v>
      </c>
      <c r="E27" s="79">
        <f>3-3</f>
        <v>0.0</v>
      </c>
      <c r="F27" s="80">
        <f t="shared" si="7"/>
        <v>0.0</v>
      </c>
      <c r="G27" s="81"/>
      <c r="H27" s="81"/>
      <c r="I27" s="80">
        <f>3-1-1-1</f>
        <v>0.0</v>
      </c>
      <c r="J27" s="80">
        <f>I27*D27</f>
        <v>0.0</v>
      </c>
      <c r="K27" s="81"/>
      <c r="L27" s="81"/>
      <c r="M27" s="80">
        <f>3-1-1-1</f>
        <v>0.0</v>
      </c>
      <c r="N27" s="80">
        <f t="shared" si="5"/>
        <v>0.0</v>
      </c>
      <c r="O27" s="81"/>
      <c r="P27" s="81"/>
      <c r="Q27" s="80">
        <f>3-1-1-1</f>
        <v>0.0</v>
      </c>
      <c r="R27" s="80">
        <f t="shared" si="6"/>
        <v>0.0</v>
      </c>
      <c r="S27" s="80"/>
      <c r="T27" s="82"/>
      <c r="U27" s="83">
        <f>9</f>
        <v>9.0</v>
      </c>
      <c r="V27" s="84">
        <f>U27*30</f>
        <v>270.0</v>
      </c>
      <c r="W27" s="84">
        <f>14-1</f>
        <v>13.0</v>
      </c>
      <c r="X27" s="85">
        <f>W27*30</f>
        <v>390.0</v>
      </c>
      <c r="Y27" s="8"/>
      <c r="Z27" s="8"/>
      <c r="AA27" s="8"/>
      <c r="AB27" s="8"/>
      <c r="AC27" s="8"/>
      <c r="AD27" s="8"/>
      <c r="AE27" s="8"/>
      <c r="AF27" s="8"/>
      <c r="AG27" s="8"/>
      <c r="AH27" s="8"/>
      <c r="AI27" s="8"/>
      <c r="AJ27" s="8"/>
    </row>
    <row r="28" spans="8:8" ht="15.75" customHeight="1">
      <c r="A28" s="12"/>
      <c r="B28" s="12"/>
      <c r="C28" s="9"/>
      <c r="D28" s="8"/>
      <c r="E28" s="8"/>
      <c r="F28" s="8"/>
      <c r="G28" s="8"/>
      <c r="H28" s="8"/>
      <c r="I28" s="8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86"/>
      <c r="V28" s="86"/>
      <c r="W28" s="86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spans="8:8" ht="15.75" customHeight="1">
      <c r="A29" s="12"/>
      <c r="B29" s="12"/>
      <c r="C29" s="9"/>
      <c r="D29" s="8"/>
      <c r="E29" s="8"/>
      <c r="F29" s="8"/>
      <c r="G29" s="8"/>
      <c r="H29" s="8"/>
      <c r="I29" s="8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86"/>
      <c r="V29" s="86"/>
      <c r="W29" s="86" t="s">
        <v>1214</v>
      </c>
      <c r="X29" s="86" t="s">
        <v>1214</v>
      </c>
      <c r="Y29" s="86" t="s">
        <v>1214</v>
      </c>
      <c r="Z29" s="86" t="s">
        <v>1214</v>
      </c>
      <c r="AA29" s="86" t="s">
        <v>1214</v>
      </c>
      <c r="AB29" s="86" t="s">
        <v>1214</v>
      </c>
      <c r="AC29" s="87"/>
      <c r="AD29" s="87"/>
      <c r="AE29" s="87"/>
      <c r="AF29" s="87"/>
      <c r="AG29" s="87"/>
      <c r="AH29" s="87"/>
      <c r="AI29" s="87" t="s">
        <v>352</v>
      </c>
      <c r="AJ29" s="87" t="s">
        <v>352</v>
      </c>
    </row>
    <row r="30" spans="8:8" ht="15.75" customHeight="1">
      <c r="A30" s="12"/>
      <c r="B30" s="12"/>
      <c r="C30" s="36" t="s">
        <v>353</v>
      </c>
      <c r="D30" s="88" t="s">
        <v>321</v>
      </c>
      <c r="E30" s="38" t="s">
        <v>322</v>
      </c>
      <c r="F30" s="89" t="s">
        <v>334</v>
      </c>
      <c r="G30" s="90"/>
      <c r="H30" s="41"/>
      <c r="I30" s="43" t="s">
        <v>322</v>
      </c>
      <c r="J30" s="89" t="s">
        <v>323</v>
      </c>
      <c r="K30" s="91"/>
      <c r="L30" s="44"/>
      <c r="M30" s="43" t="s">
        <v>322</v>
      </c>
      <c r="N30" s="39" t="s">
        <v>324</v>
      </c>
      <c r="O30" s="91"/>
      <c r="P30" s="44"/>
      <c r="Q30" s="43" t="s">
        <v>322</v>
      </c>
      <c r="R30" s="92" t="s">
        <v>325</v>
      </c>
      <c r="S30" s="43" t="s">
        <v>322</v>
      </c>
      <c r="T30" s="46" t="s">
        <v>326</v>
      </c>
      <c r="U30" s="93" t="s">
        <v>1215</v>
      </c>
      <c r="V30" s="94" t="s">
        <v>1216</v>
      </c>
      <c r="W30" s="95" t="s">
        <v>1217</v>
      </c>
      <c r="X30" s="94" t="s">
        <v>1218</v>
      </c>
      <c r="Y30" s="95" t="s">
        <v>1219</v>
      </c>
      <c r="Z30" s="95" t="s">
        <v>1220</v>
      </c>
      <c r="AA30" s="95" t="s">
        <v>1221</v>
      </c>
      <c r="AB30" s="95" t="s">
        <v>1222</v>
      </c>
      <c r="AC30" s="96" t="s">
        <v>1223</v>
      </c>
      <c r="AD30" s="97" t="s">
        <v>1224</v>
      </c>
      <c r="AE30" s="97" t="s">
        <v>1225</v>
      </c>
      <c r="AF30" s="97" t="s">
        <v>1226</v>
      </c>
      <c r="AG30" s="97" t="s">
        <v>355</v>
      </c>
      <c r="AH30" s="97" t="s">
        <v>1227</v>
      </c>
      <c r="AI30" s="97" t="s">
        <v>1228</v>
      </c>
      <c r="AJ30" s="98" t="s">
        <v>356</v>
      </c>
    </row>
    <row r="31" spans="8:8" ht="24.75" customHeight="1">
      <c r="A31" s="12"/>
      <c r="B31" s="99" t="s">
        <v>357</v>
      </c>
      <c r="C31" s="100" t="s">
        <v>358</v>
      </c>
      <c r="D31" s="101">
        <v>200.0</v>
      </c>
      <c r="E31" s="52"/>
      <c r="F31" s="53"/>
      <c r="G31" s="54"/>
      <c r="H31" s="54"/>
      <c r="I31" s="53"/>
      <c r="J31" s="53"/>
      <c r="K31" s="54"/>
      <c r="L31" s="54"/>
      <c r="M31" s="53"/>
      <c r="N31" s="55"/>
      <c r="O31" s="54"/>
      <c r="P31" s="54"/>
      <c r="Q31" s="53">
        <f>3-1-1</f>
        <v>1.0</v>
      </c>
      <c r="R31" s="63">
        <f t="shared" si="9" ref="R31:R33">Q31*D31</f>
        <v>200.0</v>
      </c>
      <c r="S31" s="53">
        <f>1-1</f>
        <v>0.0</v>
      </c>
      <c r="T31" s="56">
        <f t="shared" si="10" ref="T31:T32">D31*S31</f>
        <v>0.0</v>
      </c>
      <c r="U31" s="102"/>
      <c r="V31" s="103"/>
      <c r="W31" s="103"/>
      <c r="X31" s="103"/>
      <c r="Y31" s="104"/>
      <c r="Z31" s="103"/>
      <c r="AA31" s="105"/>
      <c r="AB31" s="106">
        <f>4</f>
        <v>4.0</v>
      </c>
      <c r="AC31" s="107"/>
      <c r="AD31" s="53"/>
      <c r="AE31" s="53"/>
      <c r="AF31" s="53"/>
      <c r="AG31" s="53"/>
      <c r="AH31" s="53"/>
      <c r="AI31" s="53"/>
      <c r="AJ31" s="108"/>
    </row>
    <row r="32" spans="8:8" ht="24.75" customHeight="1">
      <c r="A32" s="12"/>
      <c r="B32" s="99" t="s">
        <v>359</v>
      </c>
      <c r="C32" s="109" t="s">
        <v>360</v>
      </c>
      <c r="D32" s="110">
        <v>200.0</v>
      </c>
      <c r="E32" s="61">
        <f>30-2-1-3+15-2-1-1-1-1-1-2</f>
        <v>30.0</v>
      </c>
      <c r="F32" s="63">
        <f t="shared" si="11" ref="F32:F33">E32*D32</f>
        <v>6000.0</v>
      </c>
      <c r="G32" s="54"/>
      <c r="H32" s="54"/>
      <c r="I32" s="63">
        <f>17-1-2-2-1+15-1-1-1-1-1-1-1-1-1-1</f>
        <v>16.0</v>
      </c>
      <c r="J32" s="63">
        <f>D32*I32</f>
        <v>3200.0</v>
      </c>
      <c r="K32" s="54"/>
      <c r="L32" s="54"/>
      <c r="M32" s="63">
        <f>24-1-1-1-1</f>
        <v>20.0</v>
      </c>
      <c r="N32" s="62">
        <f>D32*M32</f>
        <v>4000.0</v>
      </c>
      <c r="O32" s="54"/>
      <c r="P32" s="54"/>
      <c r="Q32" s="53">
        <f>22-1-1-1-1</f>
        <v>18.0</v>
      </c>
      <c r="R32" s="63">
        <f t="shared" si="9"/>
        <v>3600.0</v>
      </c>
      <c r="S32" s="53">
        <f>17-1-1</f>
        <v>15.0</v>
      </c>
      <c r="T32" s="70">
        <f t="shared" si="10"/>
        <v>3000.0</v>
      </c>
      <c r="U32" s="111"/>
      <c r="V32" s="103"/>
      <c r="W32" s="103"/>
      <c r="X32" s="103"/>
      <c r="Y32" s="63">
        <f t="shared" si="12" ref="Y32:Y33">22</f>
        <v>22.0</v>
      </c>
      <c r="Z32" s="103"/>
      <c r="AA32" s="103"/>
      <c r="AB32" s="106">
        <f>24</f>
        <v>24.0</v>
      </c>
      <c r="AC32" s="107"/>
      <c r="AD32" s="53"/>
      <c r="AE32" s="53"/>
      <c r="AF32" s="53"/>
      <c r="AG32" s="63">
        <f>18</f>
        <v>18.0</v>
      </c>
      <c r="AH32" s="53"/>
      <c r="AI32" s="53"/>
      <c r="AJ32" s="112">
        <f>17-1-1</f>
        <v>15.0</v>
      </c>
    </row>
    <row r="33" spans="8:8" ht="24.75" customHeight="1">
      <c r="A33" s="12"/>
      <c r="B33" s="99" t="s">
        <v>361</v>
      </c>
      <c r="C33" s="50" t="s">
        <v>330</v>
      </c>
      <c r="D33" s="101">
        <v>200.0</v>
      </c>
      <c r="E33" s="61">
        <f>11-3-1-1-1-1</f>
        <v>4.0</v>
      </c>
      <c r="F33" s="63">
        <f t="shared" si="11"/>
        <v>800.0</v>
      </c>
      <c r="G33" s="54"/>
      <c r="H33" s="54"/>
      <c r="I33" s="53">
        <f>3-1-1-1</f>
        <v>0.0</v>
      </c>
      <c r="J33" s="53">
        <f>I33*D33</f>
        <v>0.0</v>
      </c>
      <c r="K33" s="54"/>
      <c r="L33" s="54"/>
      <c r="M33" s="53">
        <f>8-1-1</f>
        <v>6.0</v>
      </c>
      <c r="N33" s="63">
        <f>M33*D33</f>
        <v>1200.0</v>
      </c>
      <c r="O33" s="54"/>
      <c r="P33" s="54"/>
      <c r="Q33" s="53">
        <f>13-1-1-1</f>
        <v>10.0</v>
      </c>
      <c r="R33" s="63">
        <f t="shared" si="9"/>
        <v>2000.0</v>
      </c>
      <c r="S33" s="53"/>
      <c r="T33" s="58"/>
      <c r="U33" s="111"/>
      <c r="V33" s="103"/>
      <c r="W33" s="103"/>
      <c r="X33" s="103"/>
      <c r="Y33" s="63">
        <f t="shared" si="12"/>
        <v>22.0</v>
      </c>
      <c r="Z33" s="103"/>
      <c r="AA33" s="103"/>
      <c r="AB33" s="106">
        <f>42-1-1-1</f>
        <v>39.0</v>
      </c>
      <c r="AC33" s="107"/>
      <c r="AD33" s="53"/>
      <c r="AE33" s="53"/>
      <c r="AF33" s="53"/>
      <c r="AG33" s="63">
        <f>25</f>
        <v>25.0</v>
      </c>
      <c r="AH33" s="53"/>
      <c r="AI33" s="53"/>
      <c r="AJ33" s="112">
        <f>21</f>
        <v>21.0</v>
      </c>
    </row>
    <row r="34" spans="8:8" ht="24.75" hidden="1" customHeight="1">
      <c r="A34" s="113"/>
      <c r="B34" s="99" t="s">
        <v>357</v>
      </c>
      <c r="C34" s="114" t="s">
        <v>330</v>
      </c>
      <c r="D34" s="115">
        <v>200.0</v>
      </c>
      <c r="E34" s="116"/>
      <c r="F34" s="117"/>
      <c r="G34" s="118"/>
      <c r="H34" s="118"/>
      <c r="I34" s="117"/>
      <c r="J34" s="117"/>
      <c r="K34" s="118"/>
      <c r="L34" s="118"/>
      <c r="M34" s="117"/>
      <c r="N34" s="119"/>
      <c r="O34" s="118"/>
      <c r="P34" s="118"/>
      <c r="Q34" s="117"/>
      <c r="R34" s="117"/>
      <c r="S34" s="117"/>
      <c r="T34" s="58">
        <f t="shared" si="13" ref="T34:T37">S34*D34</f>
        <v>0.0</v>
      </c>
      <c r="U34" s="120"/>
      <c r="V34" s="121"/>
      <c r="W34" s="121"/>
      <c r="X34" s="121"/>
      <c r="Y34" s="117"/>
      <c r="Z34" s="121"/>
      <c r="AA34" s="121"/>
      <c r="AB34" s="122">
        <v>14.0</v>
      </c>
      <c r="AC34" s="107"/>
      <c r="AD34" s="53"/>
      <c r="AE34" s="53"/>
      <c r="AF34" s="53"/>
      <c r="AG34" s="117"/>
      <c r="AH34" s="53"/>
      <c r="AI34" s="53"/>
      <c r="AJ34" s="123"/>
    </row>
    <row r="35" spans="8:8" ht="24.75" customHeight="1">
      <c r="A35" s="12"/>
      <c r="B35" s="99" t="s">
        <v>362</v>
      </c>
      <c r="C35" s="73" t="s">
        <v>363</v>
      </c>
      <c r="D35" s="101">
        <v>200.0</v>
      </c>
      <c r="E35" s="52">
        <f>7-1-1-1-4</f>
        <v>0.0</v>
      </c>
      <c r="F35" s="53">
        <f t="shared" si="14" ref="F35:F38">E35*D35</f>
        <v>0.0</v>
      </c>
      <c r="G35" s="54"/>
      <c r="H35" s="54"/>
      <c r="I35" s="63">
        <f>9-1-1-1</f>
        <v>6.0</v>
      </c>
      <c r="J35" s="63">
        <f t="shared" si="15" ref="J35:J36">I35*D35</f>
        <v>1200.0</v>
      </c>
      <c r="K35" s="54"/>
      <c r="L35" s="54"/>
      <c r="M35" s="53">
        <f>6-1-2-2-1</f>
        <v>0.0</v>
      </c>
      <c r="N35" s="53">
        <f>M35*D35</f>
        <v>0.0</v>
      </c>
      <c r="O35" s="54"/>
      <c r="P35" s="54"/>
      <c r="Q35" s="63">
        <f>10-2+8-2-2-2-1-2-1-1</f>
        <v>5.0</v>
      </c>
      <c r="R35" s="63">
        <f t="shared" si="16" ref="R35:R38">Q35*D35</f>
        <v>1000.0</v>
      </c>
      <c r="S35" s="53">
        <f>10-2-1-1-1-1-1-1-1-1</f>
        <v>0.0</v>
      </c>
      <c r="T35" s="58">
        <f t="shared" si="13"/>
        <v>0.0</v>
      </c>
      <c r="U35" s="111"/>
      <c r="V35" s="103"/>
      <c r="W35" s="103"/>
      <c r="X35" s="103"/>
      <c r="Y35" s="53"/>
      <c r="Z35" s="103"/>
      <c r="AA35" s="103"/>
      <c r="AB35" s="106">
        <f>15-1-1-1-1-1-1-1</f>
        <v>8.0</v>
      </c>
      <c r="AC35" s="107"/>
      <c r="AD35" s="53"/>
      <c r="AE35" s="53"/>
      <c r="AF35" s="53"/>
      <c r="AG35" s="53"/>
      <c r="AH35" s="53"/>
      <c r="AI35" s="53"/>
      <c r="AJ35" s="112">
        <f>10-1</f>
        <v>9.0</v>
      </c>
      <c r="AK35" s="124"/>
      <c r="AL35" s="124" t="s">
        <v>364</v>
      </c>
      <c r="AM35" s="124"/>
      <c r="AN35" s="124"/>
      <c r="AO35" s="124"/>
    </row>
    <row r="36" spans="8:8" ht="24.75" customHeight="1">
      <c r="A36" s="12"/>
      <c r="B36" s="99" t="s">
        <v>365</v>
      </c>
      <c r="C36" s="50" t="s">
        <v>366</v>
      </c>
      <c r="D36" s="101">
        <v>200.0</v>
      </c>
      <c r="E36" s="52">
        <f>5-1-1-2+4-2-2-1</f>
        <v>0.0</v>
      </c>
      <c r="F36" s="53">
        <f t="shared" si="14"/>
        <v>0.0</v>
      </c>
      <c r="G36" s="54"/>
      <c r="H36" s="54"/>
      <c r="I36" s="53">
        <f>2-1-1</f>
        <v>0.0</v>
      </c>
      <c r="J36" s="53">
        <f t="shared" si="15"/>
        <v>0.0</v>
      </c>
      <c r="K36" s="54"/>
      <c r="L36" s="54"/>
      <c r="M36" s="63">
        <f>3-1</f>
        <v>2.0</v>
      </c>
      <c r="N36" s="62">
        <f>D36*M36</f>
        <v>400.0</v>
      </c>
      <c r="O36" s="54"/>
      <c r="P36" s="54"/>
      <c r="Q36" s="63">
        <f>6-1-1</f>
        <v>4.0</v>
      </c>
      <c r="R36" s="63">
        <f t="shared" si="16"/>
        <v>800.0</v>
      </c>
      <c r="S36" s="53">
        <f>3-1-1-1</f>
        <v>0.0</v>
      </c>
      <c r="T36" s="56">
        <f t="shared" si="13"/>
        <v>0.0</v>
      </c>
      <c r="U36" s="111"/>
      <c r="V36" s="103"/>
      <c r="W36" s="103"/>
      <c r="X36" s="103"/>
      <c r="Y36" s="53"/>
      <c r="Z36" s="103"/>
      <c r="AA36" s="103"/>
      <c r="AB36" s="106">
        <f>5-1</f>
        <v>4.0</v>
      </c>
      <c r="AC36" s="107"/>
      <c r="AD36" s="53"/>
      <c r="AE36" s="53"/>
      <c r="AF36" s="53"/>
      <c r="AG36" s="53"/>
      <c r="AH36" s="53"/>
      <c r="AI36" s="53"/>
      <c r="AJ36" s="108"/>
    </row>
    <row r="37" spans="8:8" ht="24.75" hidden="1" customHeight="1">
      <c r="A37" s="12"/>
      <c r="B37" s="99" t="s">
        <v>357</v>
      </c>
      <c r="C37" s="125" t="s">
        <v>366</v>
      </c>
      <c r="D37" s="126">
        <v>200.0</v>
      </c>
      <c r="E37" s="61"/>
      <c r="F37" s="63">
        <f t="shared" si="14"/>
        <v>0.0</v>
      </c>
      <c r="G37" s="54"/>
      <c r="H37" s="54"/>
      <c r="I37" s="63"/>
      <c r="J37" s="63"/>
      <c r="K37" s="54"/>
      <c r="L37" s="54"/>
      <c r="M37" s="63"/>
      <c r="N37" s="62"/>
      <c r="O37" s="54"/>
      <c r="P37" s="54"/>
      <c r="Q37" s="127"/>
      <c r="R37" s="127">
        <f t="shared" si="16"/>
        <v>0.0</v>
      </c>
      <c r="S37" s="127"/>
      <c r="T37" s="70">
        <f t="shared" si="13"/>
        <v>0.0</v>
      </c>
      <c r="U37" s="111"/>
      <c r="V37" s="103"/>
      <c r="W37" s="103"/>
      <c r="X37" s="103"/>
      <c r="Y37" s="63"/>
      <c r="Z37" s="103"/>
      <c r="AA37" s="103"/>
      <c r="AB37" s="106"/>
      <c r="AC37" s="107"/>
      <c r="AD37" s="53"/>
      <c r="AE37" s="53"/>
      <c r="AF37" s="53"/>
      <c r="AG37" s="63"/>
      <c r="AH37" s="53"/>
      <c r="AI37" s="53"/>
      <c r="AJ37" s="112"/>
    </row>
    <row r="38" spans="8:8" ht="24.75" customHeight="1">
      <c r="A38" s="12"/>
      <c r="B38" s="99" t="s">
        <v>367</v>
      </c>
      <c r="C38" s="50" t="s">
        <v>348</v>
      </c>
      <c r="D38" s="101">
        <v>200.0</v>
      </c>
      <c r="E38" s="52">
        <f>11-1-1-1</f>
        <v>8.0</v>
      </c>
      <c r="F38" s="63">
        <f t="shared" si="14"/>
        <v>1600.0</v>
      </c>
      <c r="G38" s="54"/>
      <c r="H38" s="54"/>
      <c r="I38" s="53">
        <f>13-1-1-1-1-1-2-1-1-1</f>
        <v>3.0</v>
      </c>
      <c r="J38" s="63">
        <f>I38*D38</f>
        <v>600.0</v>
      </c>
      <c r="K38" s="54"/>
      <c r="L38" s="54"/>
      <c r="M38" s="53">
        <f>9-1-1-1-1-1</f>
        <v>4.0</v>
      </c>
      <c r="N38" s="63">
        <f>M38*D38</f>
        <v>800.0</v>
      </c>
      <c r="O38" s="54"/>
      <c r="P38" s="54"/>
      <c r="Q38" s="53">
        <f>13-1-1</f>
        <v>11.0</v>
      </c>
      <c r="R38" s="63">
        <f t="shared" si="16"/>
        <v>2200.0</v>
      </c>
      <c r="S38" s="53"/>
      <c r="T38" s="56"/>
      <c r="U38" s="111"/>
      <c r="V38" s="103"/>
      <c r="W38" s="103"/>
      <c r="X38" s="103"/>
      <c r="Y38" s="63">
        <f>31-1-1</f>
        <v>29.0</v>
      </c>
      <c r="Z38" s="103"/>
      <c r="AA38" s="103"/>
      <c r="AB38" s="106">
        <f>21-1-1-1</f>
        <v>18.0</v>
      </c>
      <c r="AC38" s="107"/>
      <c r="AD38" s="53"/>
      <c r="AE38" s="53"/>
      <c r="AF38" s="53"/>
      <c r="AG38" s="63">
        <f>25</f>
        <v>25.0</v>
      </c>
      <c r="AH38" s="53"/>
      <c r="AI38" s="53"/>
      <c r="AJ38" s="112">
        <f>23</f>
        <v>23.0</v>
      </c>
    </row>
    <row r="39" spans="8:8" ht="24.75" hidden="1" customHeight="1">
      <c r="A39" s="12"/>
      <c r="B39" s="99" t="s">
        <v>357</v>
      </c>
      <c r="C39" s="50" t="s">
        <v>368</v>
      </c>
      <c r="D39" s="101">
        <v>200.0</v>
      </c>
      <c r="E39" s="61"/>
      <c r="F39" s="63"/>
      <c r="G39" s="54"/>
      <c r="H39" s="54"/>
      <c r="I39" s="63"/>
      <c r="J39" s="63"/>
      <c r="K39" s="54"/>
      <c r="L39" s="54"/>
      <c r="M39" s="63"/>
      <c r="N39" s="62"/>
      <c r="O39" s="54"/>
      <c r="P39" s="54"/>
      <c r="Q39" s="53"/>
      <c r="R39" s="53"/>
      <c r="S39" s="53"/>
      <c r="T39" s="56"/>
      <c r="U39" s="111"/>
      <c r="V39" s="103"/>
      <c r="W39" s="103"/>
      <c r="X39" s="103"/>
      <c r="Y39" s="63"/>
      <c r="Z39" s="103"/>
      <c r="AA39" s="103"/>
      <c r="AB39" s="106">
        <f>15-2-1-1-1-5</f>
        <v>5.0</v>
      </c>
      <c r="AC39" s="107"/>
      <c r="AD39" s="53"/>
      <c r="AE39" s="53"/>
      <c r="AF39" s="53"/>
      <c r="AG39" s="63">
        <f>5+7</f>
        <v>12.0</v>
      </c>
      <c r="AH39" s="53"/>
      <c r="AI39" s="53"/>
      <c r="AJ39" s="112"/>
    </row>
    <row r="40" spans="8:8" ht="24.75" customHeight="1">
      <c r="A40" s="12"/>
      <c r="B40" s="99" t="s">
        <v>369</v>
      </c>
      <c r="C40" s="50" t="s">
        <v>370</v>
      </c>
      <c r="D40" s="101">
        <v>200.0</v>
      </c>
      <c r="E40" s="61">
        <f>2-1</f>
        <v>1.0</v>
      </c>
      <c r="F40" s="63">
        <f t="shared" si="17" ref="F40:F48">E40*D40</f>
        <v>200.0</v>
      </c>
      <c r="G40" s="54"/>
      <c r="H40" s="54"/>
      <c r="I40" s="53"/>
      <c r="J40" s="53"/>
      <c r="K40" s="54"/>
      <c r="L40" s="54"/>
      <c r="M40" s="63">
        <f>2-1</f>
        <v>1.0</v>
      </c>
      <c r="N40" s="63">
        <f t="shared" si="18" ref="N40:N41">D40*M40</f>
        <v>200.0</v>
      </c>
      <c r="O40" s="54"/>
      <c r="P40" s="54"/>
      <c r="Q40" s="53"/>
      <c r="R40" s="53"/>
      <c r="S40" s="53">
        <f>3-1</f>
        <v>2.0</v>
      </c>
      <c r="T40" s="70">
        <f>S40*D40</f>
        <v>400.0</v>
      </c>
      <c r="U40" s="111"/>
      <c r="V40" s="103"/>
      <c r="W40" s="103"/>
      <c r="X40" s="103"/>
      <c r="Y40" s="53"/>
      <c r="Z40" s="103"/>
      <c r="AA40" s="103"/>
      <c r="AB40" s="106">
        <f>3</f>
        <v>3.0</v>
      </c>
      <c r="AC40" s="107"/>
      <c r="AD40" s="53"/>
      <c r="AE40" s="53"/>
      <c r="AF40" s="53"/>
      <c r="AG40" s="53"/>
      <c r="AH40" s="53"/>
      <c r="AI40" s="53"/>
      <c r="AJ40" s="108"/>
    </row>
    <row r="41" spans="8:8" ht="24.75" hidden="1" customHeight="1">
      <c r="A41" s="12"/>
      <c r="B41" s="99" t="s">
        <v>357</v>
      </c>
      <c r="C41" s="50" t="s">
        <v>370</v>
      </c>
      <c r="D41" s="126">
        <v>200.0</v>
      </c>
      <c r="E41" s="61">
        <v>5.0</v>
      </c>
      <c r="F41" s="63">
        <f t="shared" si="17"/>
        <v>1000.0</v>
      </c>
      <c r="G41" s="54"/>
      <c r="H41" s="54"/>
      <c r="I41" s="63">
        <v>5.0</v>
      </c>
      <c r="J41" s="63">
        <f t="shared" si="19" ref="J41:J42">D41*I41</f>
        <v>1000.0</v>
      </c>
      <c r="K41" s="54"/>
      <c r="L41" s="54"/>
      <c r="M41" s="63">
        <v>5.0</v>
      </c>
      <c r="N41" s="62">
        <f t="shared" si="18"/>
        <v>1000.0</v>
      </c>
      <c r="O41" s="54"/>
      <c r="P41" s="54"/>
      <c r="Q41" s="63">
        <v>5.0</v>
      </c>
      <c r="R41" s="63">
        <f t="shared" si="20" ref="R41:R42">D41*Q41</f>
        <v>1000.0</v>
      </c>
      <c r="S41" s="127"/>
      <c r="T41" s="128"/>
      <c r="U41" s="111"/>
      <c r="V41" s="103"/>
      <c r="W41" s="103"/>
      <c r="X41" s="103"/>
      <c r="Y41" s="63"/>
      <c r="Z41" s="103"/>
      <c r="AA41" s="103"/>
      <c r="AB41" s="106">
        <f>5</f>
        <v>5.0</v>
      </c>
      <c r="AC41" s="107"/>
      <c r="AD41" s="53"/>
      <c r="AE41" s="53"/>
      <c r="AF41" s="53"/>
      <c r="AG41" s="63">
        <f>8</f>
        <v>8.0</v>
      </c>
      <c r="AH41" s="53"/>
      <c r="AI41" s="53"/>
      <c r="AJ41" s="112"/>
    </row>
    <row r="42" spans="8:8" ht="24.75" customHeight="1">
      <c r="A42" s="12"/>
      <c r="B42" s="99" t="s">
        <v>371</v>
      </c>
      <c r="C42" s="50" t="s">
        <v>372</v>
      </c>
      <c r="D42" s="101">
        <v>200.0</v>
      </c>
      <c r="E42" s="61">
        <f>6</f>
        <v>6.0</v>
      </c>
      <c r="F42" s="63">
        <f t="shared" si="17"/>
        <v>1200.0</v>
      </c>
      <c r="G42" s="54"/>
      <c r="H42" s="54"/>
      <c r="I42" s="53">
        <f>5-1</f>
        <v>4.0</v>
      </c>
      <c r="J42" s="63">
        <f t="shared" si="19"/>
        <v>800.0</v>
      </c>
      <c r="K42" s="54"/>
      <c r="L42" s="54"/>
      <c r="M42" s="63">
        <f>5</f>
        <v>5.0</v>
      </c>
      <c r="N42" s="62">
        <f>M42*D42</f>
        <v>1000.0</v>
      </c>
      <c r="O42" s="54"/>
      <c r="P42" s="54"/>
      <c r="Q42" s="63">
        <f>6</f>
        <v>6.0</v>
      </c>
      <c r="R42" s="63">
        <f t="shared" si="20"/>
        <v>1200.0</v>
      </c>
      <c r="S42" s="53">
        <f>6</f>
        <v>6.0</v>
      </c>
      <c r="T42" s="56">
        <f t="shared" si="21" ref="T42:T47">S42*D42</f>
        <v>1200.0</v>
      </c>
      <c r="U42" s="111"/>
      <c r="V42" s="103"/>
      <c r="W42" s="103"/>
      <c r="X42" s="103"/>
      <c r="Y42" s="63">
        <f>7</f>
        <v>7.0</v>
      </c>
      <c r="Z42" s="103"/>
      <c r="AA42" s="103"/>
      <c r="AB42" s="106">
        <f>6</f>
        <v>6.0</v>
      </c>
      <c r="AC42" s="107"/>
      <c r="AD42" s="53"/>
      <c r="AE42" s="53"/>
      <c r="AF42" s="53"/>
      <c r="AG42" s="63">
        <f>13</f>
        <v>13.0</v>
      </c>
      <c r="AH42" s="53"/>
      <c r="AI42" s="53"/>
      <c r="AJ42" s="112">
        <f>10</f>
        <v>10.0</v>
      </c>
    </row>
    <row r="43" spans="8:8" ht="24.75" customHeight="1">
      <c r="A43" s="12"/>
      <c r="B43" s="99" t="s">
        <v>373</v>
      </c>
      <c r="C43" s="109" t="s">
        <v>374</v>
      </c>
      <c r="D43" s="101">
        <v>200.0</v>
      </c>
      <c r="E43" s="61">
        <f>7-1-1-1</f>
        <v>4.0</v>
      </c>
      <c r="F43" s="63">
        <f t="shared" si="17"/>
        <v>800.0</v>
      </c>
      <c r="G43" s="54"/>
      <c r="H43" s="54"/>
      <c r="I43" s="53"/>
      <c r="J43" s="53"/>
      <c r="K43" s="54"/>
      <c r="L43" s="54"/>
      <c r="M43" s="63">
        <f>5-1-1-1-1-1</f>
        <v>0.0</v>
      </c>
      <c r="N43" s="62">
        <f t="shared" si="22" ref="N43:N46">D43*M43</f>
        <v>0.0</v>
      </c>
      <c r="O43" s="54"/>
      <c r="P43" s="54"/>
      <c r="Q43" s="63">
        <f>6-1</f>
        <v>5.0</v>
      </c>
      <c r="R43" s="63">
        <f t="shared" si="23" ref="R43:R47">Q43*D43</f>
        <v>1000.0</v>
      </c>
      <c r="S43" s="63">
        <f>8-1-2-1</f>
        <v>4.0</v>
      </c>
      <c r="T43" s="70">
        <f t="shared" si="21"/>
        <v>800.0</v>
      </c>
      <c r="U43" s="111"/>
      <c r="V43" s="103"/>
      <c r="W43" s="103"/>
      <c r="X43" s="103"/>
      <c r="Y43" s="53"/>
      <c r="Z43" s="103"/>
      <c r="AA43" s="103"/>
      <c r="AB43" s="106">
        <f>6-1-1-1-1</f>
        <v>2.0</v>
      </c>
      <c r="AC43" s="107"/>
      <c r="AD43" s="53"/>
      <c r="AE43" s="53"/>
      <c r="AF43" s="53"/>
      <c r="AG43" s="53"/>
      <c r="AH43" s="53"/>
      <c r="AI43" s="53"/>
      <c r="AJ43" s="108"/>
    </row>
    <row r="44" spans="8:8" ht="24.75" customHeight="1">
      <c r="A44" s="12"/>
      <c r="B44" s="99" t="s">
        <v>375</v>
      </c>
      <c r="C44" s="109" t="s">
        <v>376</v>
      </c>
      <c r="D44" s="101">
        <v>200.0</v>
      </c>
      <c r="E44" s="61">
        <f>9-1-1</f>
        <v>7.0</v>
      </c>
      <c r="F44" s="63">
        <f t="shared" si="17"/>
        <v>1400.0</v>
      </c>
      <c r="G44" s="54"/>
      <c r="H44" s="54"/>
      <c r="I44" s="53">
        <f>9-1-1-5-1</f>
        <v>1.0</v>
      </c>
      <c r="J44" s="63">
        <f t="shared" si="24" ref="J44:J48">D44*I44</f>
        <v>200.0</v>
      </c>
      <c r="K44" s="54"/>
      <c r="L44" s="54"/>
      <c r="M44" s="63">
        <f>5+3-1-1-1</f>
        <v>5.0</v>
      </c>
      <c r="N44" s="62">
        <f t="shared" si="22"/>
        <v>1000.0</v>
      </c>
      <c r="O44" s="54"/>
      <c r="P44" s="54"/>
      <c r="Q44" s="63">
        <f>5+3</f>
        <v>8.0</v>
      </c>
      <c r="R44" s="63">
        <f t="shared" si="23"/>
        <v>1600.0</v>
      </c>
      <c r="S44" s="63">
        <f>6-1</f>
        <v>5.0</v>
      </c>
      <c r="T44" s="70">
        <f t="shared" si="21"/>
        <v>1000.0</v>
      </c>
      <c r="U44" s="111"/>
      <c r="V44" s="103"/>
      <c r="W44" s="103"/>
      <c r="X44" s="103"/>
      <c r="Y44" s="63">
        <f>3</f>
        <v>3.0</v>
      </c>
      <c r="Z44" s="103"/>
      <c r="AA44" s="103"/>
      <c r="AB44" s="106">
        <f>3-1</f>
        <v>2.0</v>
      </c>
      <c r="AC44" s="107"/>
      <c r="AD44" s="53"/>
      <c r="AE44" s="53"/>
      <c r="AF44" s="53"/>
      <c r="AG44" s="63">
        <f t="shared" si="25" ref="AG44:AG46">4</f>
        <v>4.0</v>
      </c>
      <c r="AH44" s="53"/>
      <c r="AI44" s="53"/>
      <c r="AJ44" s="112">
        <f t="shared" si="26" ref="AJ44:AJ45">3</f>
        <v>3.0</v>
      </c>
    </row>
    <row r="45" spans="8:8" ht="24.75" customHeight="1">
      <c r="A45" s="12"/>
      <c r="B45" s="99" t="s">
        <v>377</v>
      </c>
      <c r="C45" s="109" t="s">
        <v>378</v>
      </c>
      <c r="D45" s="101">
        <v>200.0</v>
      </c>
      <c r="E45" s="61">
        <f>9</f>
        <v>9.0</v>
      </c>
      <c r="F45" s="63">
        <f t="shared" si="17"/>
        <v>1800.0</v>
      </c>
      <c r="G45" s="54"/>
      <c r="H45" s="54"/>
      <c r="I45" s="63">
        <f>14</f>
        <v>14.0</v>
      </c>
      <c r="J45" s="63">
        <f t="shared" si="24"/>
        <v>2800.0</v>
      </c>
      <c r="K45" s="54"/>
      <c r="L45" s="54"/>
      <c r="M45" s="63">
        <f>15-1</f>
        <v>14.0</v>
      </c>
      <c r="N45" s="62">
        <f t="shared" si="22"/>
        <v>2800.0</v>
      </c>
      <c r="O45" s="54"/>
      <c r="P45" s="54"/>
      <c r="Q45" s="63">
        <f>6</f>
        <v>6.0</v>
      </c>
      <c r="R45" s="63">
        <f t="shared" si="23"/>
        <v>1200.0</v>
      </c>
      <c r="S45" s="63">
        <f>5-1-1-1</f>
        <v>2.0</v>
      </c>
      <c r="T45" s="70">
        <f t="shared" si="21"/>
        <v>400.0</v>
      </c>
      <c r="U45" s="111"/>
      <c r="V45" s="103"/>
      <c r="W45" s="103"/>
      <c r="X45" s="103"/>
      <c r="Y45" s="63">
        <f>4</f>
        <v>4.0</v>
      </c>
      <c r="Z45" s="103"/>
      <c r="AA45" s="103"/>
      <c r="AB45" s="106">
        <f>3-1+4-1</f>
        <v>5.0</v>
      </c>
      <c r="AC45" s="107"/>
      <c r="AD45" s="53"/>
      <c r="AE45" s="53"/>
      <c r="AF45" s="53"/>
      <c r="AG45" s="63">
        <f t="shared" si="25"/>
        <v>4.0</v>
      </c>
      <c r="AH45" s="53"/>
      <c r="AI45" s="53"/>
      <c r="AJ45" s="112">
        <f t="shared" si="26"/>
        <v>3.0</v>
      </c>
    </row>
    <row r="46" spans="8:8" ht="24.75" customHeight="1">
      <c r="A46" s="12"/>
      <c r="B46" s="99" t="s">
        <v>379</v>
      </c>
      <c r="C46" s="109" t="s">
        <v>380</v>
      </c>
      <c r="D46" s="101">
        <v>200.0</v>
      </c>
      <c r="E46" s="52">
        <f>3-2-1</f>
        <v>0.0</v>
      </c>
      <c r="F46" s="53">
        <f t="shared" si="17"/>
        <v>0.0</v>
      </c>
      <c r="G46" s="53"/>
      <c r="H46" s="53"/>
      <c r="I46" s="53">
        <f>3-1-1-1</f>
        <v>0.0</v>
      </c>
      <c r="J46" s="53">
        <f t="shared" si="24"/>
        <v>0.0</v>
      </c>
      <c r="K46" s="53"/>
      <c r="L46" s="53"/>
      <c r="M46" s="53">
        <f>1-1</f>
        <v>0.0</v>
      </c>
      <c r="N46" s="55">
        <f t="shared" si="22"/>
        <v>0.0</v>
      </c>
      <c r="O46" s="53"/>
      <c r="P46" s="53"/>
      <c r="Q46" s="53">
        <f>1-1</f>
        <v>0.0</v>
      </c>
      <c r="R46" s="53">
        <f t="shared" si="23"/>
        <v>0.0</v>
      </c>
      <c r="S46" s="53">
        <f>3-1-2</f>
        <v>0.0</v>
      </c>
      <c r="T46" s="56">
        <f t="shared" si="21"/>
        <v>0.0</v>
      </c>
      <c r="U46" s="111"/>
      <c r="V46" s="103"/>
      <c r="W46" s="103"/>
      <c r="X46" s="103"/>
      <c r="Y46" s="63">
        <f>3</f>
        <v>3.0</v>
      </c>
      <c r="Z46" s="103"/>
      <c r="AA46" s="103"/>
      <c r="AB46" s="129"/>
      <c r="AC46" s="107"/>
      <c r="AD46" s="53"/>
      <c r="AE46" s="53"/>
      <c r="AF46" s="53"/>
      <c r="AG46" s="63">
        <f t="shared" si="25"/>
        <v>4.0</v>
      </c>
      <c r="AH46" s="53"/>
      <c r="AI46" s="53"/>
      <c r="AJ46" s="112">
        <f>4-1</f>
        <v>3.0</v>
      </c>
    </row>
    <row r="47" spans="8:8" ht="24.75" customHeight="1">
      <c r="A47" s="12"/>
      <c r="B47" s="99" t="s">
        <v>381</v>
      </c>
      <c r="C47" s="130" t="s">
        <v>382</v>
      </c>
      <c r="D47" s="131">
        <v>200.0</v>
      </c>
      <c r="E47" s="79">
        <f>2-1-1</f>
        <v>0.0</v>
      </c>
      <c r="F47" s="80">
        <f t="shared" si="17"/>
        <v>0.0</v>
      </c>
      <c r="G47" s="80"/>
      <c r="H47" s="80"/>
      <c r="I47" s="80">
        <f>6-1-1-1+3-2-1-1-1-1</f>
        <v>0.0</v>
      </c>
      <c r="J47" s="80">
        <f t="shared" si="24"/>
        <v>0.0</v>
      </c>
      <c r="K47" s="80"/>
      <c r="L47" s="80"/>
      <c r="M47" s="80"/>
      <c r="N47" s="132"/>
      <c r="O47" s="80"/>
      <c r="P47" s="80"/>
      <c r="Q47" s="80">
        <f>4-1-1+3-1-1-1-1-1</f>
        <v>0.0</v>
      </c>
      <c r="R47" s="80">
        <f t="shared" si="23"/>
        <v>0.0</v>
      </c>
      <c r="S47" s="80">
        <f>5-1-1-3</f>
        <v>0.0</v>
      </c>
      <c r="T47" s="133">
        <f t="shared" si="21"/>
        <v>0.0</v>
      </c>
      <c r="U47" s="134"/>
      <c r="V47" s="135"/>
      <c r="W47" s="135"/>
      <c r="X47" s="135"/>
      <c r="Y47" s="84">
        <f>6</f>
        <v>6.0</v>
      </c>
      <c r="Z47" s="135"/>
      <c r="AA47" s="135"/>
      <c r="AB47" s="136">
        <f>2</f>
        <v>2.0</v>
      </c>
      <c r="AC47" s="137"/>
      <c r="AD47" s="138"/>
      <c r="AE47" s="138"/>
      <c r="AF47" s="138"/>
      <c r="AG47" s="139">
        <f>3</f>
        <v>3.0</v>
      </c>
      <c r="AH47" s="138"/>
      <c r="AI47" s="138"/>
      <c r="AJ47" s="140">
        <f>2</f>
        <v>2.0</v>
      </c>
    </row>
    <row r="48" spans="8:8" ht="24.75" customHeight="1">
      <c r="A48" s="12"/>
      <c r="B48" s="12"/>
      <c r="C48" s="141" t="s">
        <v>383</v>
      </c>
      <c r="D48" s="142">
        <v>200.0</v>
      </c>
      <c r="E48" s="142">
        <v>5.0</v>
      </c>
      <c r="F48" s="143">
        <f t="shared" si="17"/>
        <v>1000.0</v>
      </c>
      <c r="G48" s="142"/>
      <c r="H48" s="142"/>
      <c r="I48" s="142">
        <v>5.0</v>
      </c>
      <c r="J48" s="142">
        <f t="shared" si="24"/>
        <v>1000.0</v>
      </c>
      <c r="K48" s="142"/>
      <c r="L48" s="142"/>
      <c r="M48" s="142">
        <v>5.0</v>
      </c>
      <c r="N48" s="144">
        <f>D48*M48</f>
        <v>1000.0</v>
      </c>
      <c r="O48" s="142"/>
      <c r="P48" s="142"/>
      <c r="Q48" s="142"/>
      <c r="R48" s="142"/>
      <c r="S48" s="142">
        <v>5.0</v>
      </c>
      <c r="T48" s="142">
        <f>D48*S48</f>
        <v>1000.0</v>
      </c>
      <c r="U48" s="144" t="e">
        <f>D48*#REF!</f>
        <v>#REF!</v>
      </c>
      <c r="V48" s="145"/>
      <c r="W48" s="24"/>
      <c r="X48" s="24"/>
      <c r="Y48" s="8"/>
      <c r="Z48" s="8"/>
      <c r="AA48" s="8"/>
      <c r="AB48" s="8"/>
      <c r="AC48" s="8"/>
      <c r="AD48" s="8"/>
      <c r="AE48" s="8"/>
      <c r="AF48" s="8"/>
      <c r="AG48" s="8"/>
      <c r="AH48" s="8"/>
      <c r="AI48" s="8"/>
      <c r="AJ48" s="24"/>
      <c r="AK48" s="146"/>
      <c r="AL48" s="146"/>
      <c r="AM48" s="146"/>
      <c r="AN48" s="146"/>
      <c r="AO48" s="146"/>
    </row>
    <row r="49" spans="8:8" ht="27.0" customHeight="1">
      <c r="A49" s="113"/>
      <c r="B49" s="113" t="s">
        <v>1229</v>
      </c>
      <c r="C49" s="147" t="s">
        <v>1230</v>
      </c>
      <c r="D49" s="147"/>
      <c r="E49" s="147"/>
      <c r="F49" s="147"/>
      <c r="G49" s="148"/>
      <c r="H49" s="148"/>
      <c r="I49" s="148"/>
      <c r="J49" s="148"/>
      <c r="K49" s="148"/>
      <c r="L49" s="148"/>
      <c r="M49" s="148"/>
      <c r="N49" s="148"/>
      <c r="O49" s="148"/>
      <c r="P49" s="148"/>
      <c r="Q49" s="148"/>
      <c r="R49" s="148"/>
      <c r="S49" s="148"/>
      <c r="T49" s="148"/>
      <c r="U49" s="148"/>
      <c r="V49" s="148"/>
      <c r="W49" s="148"/>
      <c r="X49" s="148"/>
      <c r="Y49" s="148"/>
      <c r="Z49" s="148"/>
      <c r="AA49" s="148"/>
      <c r="AB49" s="148"/>
      <c r="AC49" s="148"/>
      <c r="AD49" s="148"/>
      <c r="AE49" s="148"/>
      <c r="AF49" s="148"/>
      <c r="AG49" s="148"/>
      <c r="AH49" s="148"/>
      <c r="AI49" s="148"/>
      <c r="AJ49" s="113"/>
      <c r="AK49" s="149"/>
      <c r="AL49" s="149"/>
      <c r="AM49" s="149"/>
      <c r="AN49" s="149"/>
      <c r="AO49" s="149"/>
    </row>
    <row r="50" spans="8:8" ht="27.0" customHeight="1">
      <c r="A50" s="113"/>
      <c r="B50" s="113" t="s">
        <v>1231</v>
      </c>
      <c r="C50" s="150" t="s">
        <v>1232</v>
      </c>
      <c r="D50" s="147"/>
      <c r="E50" s="147"/>
      <c r="F50" s="147"/>
      <c r="G50" s="151"/>
      <c r="H50" s="151"/>
      <c r="I50" s="151"/>
      <c r="J50" s="151"/>
      <c r="K50" s="151"/>
      <c r="L50" s="151"/>
      <c r="M50" s="151"/>
      <c r="N50" s="151"/>
      <c r="O50" s="151"/>
      <c r="P50" s="151"/>
      <c r="Q50" s="151"/>
      <c r="R50" s="151"/>
      <c r="S50" s="151"/>
      <c r="T50" s="151"/>
      <c r="U50" s="150"/>
      <c r="V50" s="150"/>
      <c r="W50" s="150"/>
      <c r="X50" s="150"/>
      <c r="Y50" s="150"/>
      <c r="Z50" s="150"/>
      <c r="AA50" s="150"/>
      <c r="AB50" s="150"/>
      <c r="AC50" s="150"/>
      <c r="AD50" s="150"/>
      <c r="AE50" s="150"/>
      <c r="AF50" s="150"/>
      <c r="AG50" s="150"/>
      <c r="AH50" s="150"/>
      <c r="AI50" s="150"/>
      <c r="AJ50" s="150"/>
      <c r="AK50" s="149"/>
      <c r="AL50" s="149"/>
      <c r="AM50" s="149"/>
      <c r="AN50" s="149"/>
      <c r="AO50" s="149"/>
    </row>
    <row r="51" spans="8:8" ht="27.0" customHeight="1">
      <c r="A51" s="113"/>
      <c r="B51" s="113" t="s">
        <v>1233</v>
      </c>
      <c r="C51" s="150"/>
      <c r="D51" s="147"/>
      <c r="E51" s="147"/>
      <c r="F51" s="147"/>
      <c r="G51" s="151"/>
      <c r="H51" s="151"/>
      <c r="I51" s="151"/>
      <c r="J51" s="151"/>
      <c r="K51" s="151"/>
      <c r="L51" s="151"/>
      <c r="M51" s="151"/>
      <c r="N51" s="151"/>
      <c r="O51" s="151"/>
      <c r="P51" s="151"/>
      <c r="Q51" s="151"/>
      <c r="S51" s="151"/>
      <c r="T51" s="151"/>
      <c r="U51" s="150"/>
      <c r="V51" s="150"/>
      <c r="W51" s="150"/>
      <c r="X51" s="150"/>
      <c r="Y51" s="150"/>
      <c r="Z51" s="150"/>
      <c r="AA51" s="150"/>
      <c r="AB51" s="150"/>
      <c r="AC51" s="150"/>
      <c r="AD51" s="150"/>
      <c r="AE51" s="150"/>
      <c r="AF51" s="150"/>
      <c r="AG51" s="150"/>
      <c r="AH51" s="150"/>
      <c r="AI51" s="150"/>
      <c r="AJ51" s="150"/>
      <c r="AK51" s="149"/>
      <c r="AL51" s="149"/>
      <c r="AM51" s="149"/>
      <c r="AN51" s="149"/>
      <c r="AO51" s="149"/>
    </row>
    <row r="52" spans="8:8" ht="27.0" customHeight="1">
      <c r="A52" s="113"/>
      <c r="B52" s="113" t="s">
        <v>1234</v>
      </c>
      <c r="C52" s="150"/>
      <c r="D52" s="147"/>
      <c r="E52" s="147"/>
      <c r="F52" s="147"/>
      <c r="G52" s="151"/>
      <c r="H52" s="151" t="s">
        <v>395</v>
      </c>
      <c r="I52" s="151"/>
      <c r="J52" s="151"/>
      <c r="K52" s="151"/>
      <c r="L52" s="151"/>
      <c r="M52" s="151"/>
      <c r="N52" s="151"/>
      <c r="O52" s="151"/>
      <c r="P52" s="151"/>
      <c r="Q52" s="151"/>
      <c r="R52" s="151"/>
      <c r="S52" s="151"/>
      <c r="T52" s="151"/>
      <c r="U52" s="150"/>
      <c r="V52" s="150"/>
      <c r="W52" s="150"/>
      <c r="X52" s="150"/>
      <c r="Y52" s="150"/>
      <c r="Z52" s="150"/>
      <c r="AA52" s="150"/>
      <c r="AB52" s="150"/>
      <c r="AC52" s="150"/>
      <c r="AD52" s="150"/>
      <c r="AE52" s="150"/>
      <c r="AF52" s="150"/>
      <c r="AG52" s="150"/>
      <c r="AH52" s="150"/>
      <c r="AI52" s="150"/>
      <c r="AJ52" s="150"/>
      <c r="AK52" s="149"/>
      <c r="AL52" s="149"/>
      <c r="AM52" s="149"/>
      <c r="AN52" s="149"/>
      <c r="AO52" s="149"/>
    </row>
    <row r="53" spans="8:8" ht="15.75" customHeight="1">
      <c r="A53" s="12"/>
      <c r="B53" s="113" t="s">
        <v>1235</v>
      </c>
      <c r="C53" s="152"/>
      <c r="D53" s="8"/>
      <c r="E53" s="8"/>
      <c r="F53" s="8"/>
      <c r="G53" s="153"/>
      <c r="H53" s="153"/>
      <c r="I53" s="153"/>
      <c r="J53" s="153"/>
      <c r="K53" s="153"/>
      <c r="L53" s="153"/>
      <c r="M53" s="153"/>
      <c r="N53" s="153"/>
      <c r="O53" s="153"/>
      <c r="P53" s="153"/>
      <c r="Q53" s="153"/>
      <c r="R53" s="153"/>
      <c r="S53" s="153"/>
      <c r="T53" s="153"/>
      <c r="U53" s="152"/>
      <c r="V53" s="152"/>
      <c r="W53" s="152"/>
      <c r="X53" s="152"/>
      <c r="Y53" s="152"/>
      <c r="Z53" s="152"/>
      <c r="AA53" s="152"/>
      <c r="AB53" s="152"/>
      <c r="AC53" s="152"/>
      <c r="AD53" s="152"/>
      <c r="AE53" s="152"/>
      <c r="AF53" s="152"/>
      <c r="AG53" s="152"/>
      <c r="AH53" s="152"/>
      <c r="AI53" s="152"/>
      <c r="AJ53" s="152"/>
      <c r="AK53" s="146"/>
      <c r="AL53" s="146"/>
      <c r="AM53" s="146"/>
      <c r="AN53" s="146"/>
      <c r="AO53" s="146"/>
    </row>
    <row r="54" spans="8:8" ht="15.75" customHeight="1">
      <c r="A54" s="12"/>
      <c r="B54" s="12"/>
      <c r="C54" s="152"/>
      <c r="D54" s="8"/>
      <c r="E54" s="8"/>
      <c r="F54" s="8"/>
      <c r="G54" s="153"/>
      <c r="H54" s="153"/>
      <c r="I54" s="153"/>
      <c r="J54" s="153"/>
      <c r="K54" s="153"/>
      <c r="L54" s="153"/>
      <c r="M54" s="153"/>
      <c r="N54" s="153"/>
      <c r="O54" s="153"/>
      <c r="P54" s="153"/>
      <c r="Q54" s="153"/>
      <c r="R54" s="153"/>
      <c r="S54" s="153"/>
      <c r="T54" s="153"/>
      <c r="U54" s="152"/>
      <c r="V54" s="152"/>
      <c r="W54" s="152"/>
      <c r="X54" s="152"/>
      <c r="Y54" s="152"/>
      <c r="Z54" s="152"/>
      <c r="AA54" s="152"/>
      <c r="AB54" s="152"/>
      <c r="AC54" s="152"/>
      <c r="AD54" s="152"/>
      <c r="AE54" s="152"/>
      <c r="AF54" s="152"/>
      <c r="AG54" s="152"/>
      <c r="AH54" s="152"/>
      <c r="AI54" s="152"/>
      <c r="AJ54" s="152"/>
      <c r="AK54" s="146"/>
      <c r="AL54" s="146"/>
      <c r="AM54" s="146"/>
      <c r="AN54" s="146"/>
      <c r="AO54" s="146"/>
    </row>
    <row r="55" spans="8:8" ht="15.75" customHeight="1">
      <c r="A55" s="12"/>
      <c r="B55" s="12"/>
      <c r="C55" s="152" t="s">
        <v>384</v>
      </c>
      <c r="D55" s="8"/>
      <c r="E55" s="8"/>
      <c r="F55" s="8"/>
      <c r="G55" s="153"/>
      <c r="H55" s="153"/>
      <c r="I55" s="153"/>
      <c r="J55" s="153"/>
      <c r="K55" s="153"/>
      <c r="L55" s="153"/>
      <c r="M55" s="153"/>
      <c r="N55" s="153"/>
      <c r="O55" s="153"/>
      <c r="P55" s="153"/>
      <c r="Q55" s="153"/>
      <c r="R55" s="153"/>
      <c r="S55" s="153"/>
      <c r="T55" s="153"/>
      <c r="U55" s="152" t="s">
        <v>1214</v>
      </c>
      <c r="V55" s="152" t="s">
        <v>1214</v>
      </c>
      <c r="W55" s="152" t="s">
        <v>1214</v>
      </c>
      <c r="X55" s="152" t="s">
        <v>1214</v>
      </c>
      <c r="Y55" s="152" t="s">
        <v>1214</v>
      </c>
      <c r="Z55" s="152" t="s">
        <v>1214</v>
      </c>
      <c r="AA55" s="152" t="s">
        <v>1214</v>
      </c>
      <c r="AB55" s="152" t="s">
        <v>1214</v>
      </c>
      <c r="AC55" s="152" t="s">
        <v>1214</v>
      </c>
      <c r="AD55" s="152" t="s">
        <v>1214</v>
      </c>
      <c r="AE55" s="152" t="s">
        <v>1214</v>
      </c>
      <c r="AF55" s="152" t="s">
        <v>1214</v>
      </c>
      <c r="AG55" s="152" t="s">
        <v>1214</v>
      </c>
      <c r="AH55" s="152" t="s">
        <v>1214</v>
      </c>
      <c r="AI55" s="152" t="s">
        <v>1214</v>
      </c>
      <c r="AJ55" s="152" t="s">
        <v>1214</v>
      </c>
      <c r="AK55" s="146"/>
      <c r="AL55" s="146"/>
      <c r="AM55" s="146"/>
      <c r="AN55" s="146"/>
      <c r="AO55" s="146"/>
    </row>
    <row r="56" spans="8:8" ht="15.75" customHeight="1">
      <c r="A56" s="12"/>
      <c r="B56" s="12"/>
      <c r="C56" s="154" t="s">
        <v>385</v>
      </c>
      <c r="D56" s="155" t="s">
        <v>321</v>
      </c>
      <c r="E56" s="156" t="s">
        <v>322</v>
      </c>
      <c r="F56" s="54" t="s">
        <v>334</v>
      </c>
      <c r="G56" s="40" t="s">
        <v>322</v>
      </c>
      <c r="H56" s="41" t="s">
        <v>1211</v>
      </c>
      <c r="I56" s="156" t="s">
        <v>322</v>
      </c>
      <c r="J56" s="54" t="s">
        <v>323</v>
      </c>
      <c r="K56" s="43" t="s">
        <v>322</v>
      </c>
      <c r="L56" s="44" t="s">
        <v>1212</v>
      </c>
      <c r="M56" s="156" t="s">
        <v>322</v>
      </c>
      <c r="N56" s="54" t="s">
        <v>324</v>
      </c>
      <c r="O56" s="43" t="s">
        <v>322</v>
      </c>
      <c r="P56" s="45" t="s">
        <v>1213</v>
      </c>
      <c r="Q56" s="156" t="s">
        <v>322</v>
      </c>
      <c r="R56" s="103" t="s">
        <v>325</v>
      </c>
      <c r="S56" s="156" t="s">
        <v>322</v>
      </c>
      <c r="T56" s="157" t="s">
        <v>326</v>
      </c>
      <c r="U56" s="93" t="s">
        <v>1215</v>
      </c>
      <c r="V56" s="94" t="s">
        <v>1216</v>
      </c>
      <c r="W56" s="94" t="s">
        <v>1217</v>
      </c>
      <c r="X56" s="94" t="s">
        <v>1218</v>
      </c>
      <c r="Y56" s="94" t="s">
        <v>387</v>
      </c>
      <c r="Z56" s="94" t="s">
        <v>1220</v>
      </c>
      <c r="AA56" s="94" t="s">
        <v>1221</v>
      </c>
      <c r="AB56" s="94" t="s">
        <v>388</v>
      </c>
      <c r="AC56" s="96" t="s">
        <v>1223</v>
      </c>
      <c r="AD56" s="97" t="s">
        <v>1224</v>
      </c>
      <c r="AE56" s="97" t="s">
        <v>1225</v>
      </c>
      <c r="AF56" s="97" t="s">
        <v>1226</v>
      </c>
      <c r="AG56" s="97" t="s">
        <v>355</v>
      </c>
      <c r="AH56" s="97" t="s">
        <v>1227</v>
      </c>
      <c r="AI56" s="97" t="s">
        <v>1228</v>
      </c>
      <c r="AJ56" s="98" t="s">
        <v>356</v>
      </c>
      <c r="AK56" s="146"/>
      <c r="AL56" s="146"/>
      <c r="AM56" s="146"/>
      <c r="AN56" s="146"/>
      <c r="AO56" s="146"/>
    </row>
    <row r="57" spans="8:8" ht="24.75" customHeight="1">
      <c r="A57" s="12"/>
      <c r="B57" s="12" t="s">
        <v>391</v>
      </c>
      <c r="C57" s="50" t="s">
        <v>392</v>
      </c>
      <c r="D57" s="64">
        <v>100.0</v>
      </c>
      <c r="E57" s="53">
        <f>4-1+6-1-2-1-3-2</f>
        <v>0.0</v>
      </c>
      <c r="F57" s="53">
        <f t="shared" si="27" ref="F57:F68">E57*D57</f>
        <v>0.0</v>
      </c>
      <c r="G57" s="53"/>
      <c r="H57" s="53"/>
      <c r="I57" s="53"/>
      <c r="J57" s="53"/>
      <c r="K57" s="53"/>
      <c r="L57" s="53"/>
      <c r="M57" s="53">
        <f>6-2-1-1-1-1</f>
        <v>0.0</v>
      </c>
      <c r="N57" s="53">
        <f t="shared" si="28" ref="N57:N68">D57*M57</f>
        <v>0.0</v>
      </c>
      <c r="O57" s="53"/>
      <c r="P57" s="53"/>
      <c r="Q57" s="53">
        <f>2-1-1</f>
        <v>0.0</v>
      </c>
      <c r="R57" s="55">
        <f t="shared" si="29" ref="R57:R68">D57*Q57</f>
        <v>0.0</v>
      </c>
      <c r="S57" s="53"/>
      <c r="T57" s="158"/>
      <c r="U57" s="52"/>
      <c r="V57" s="53"/>
      <c r="W57" s="53"/>
      <c r="X57" s="53"/>
      <c r="Y57" s="159">
        <f>4-1-1</f>
        <v>2.0</v>
      </c>
      <c r="Z57" s="53"/>
      <c r="AA57" s="53"/>
      <c r="AB57" s="160">
        <f>3</f>
        <v>3.0</v>
      </c>
      <c r="AC57" s="161"/>
      <c r="AD57" s="162"/>
      <c r="AE57" s="162"/>
      <c r="AF57" s="162"/>
      <c r="AG57" s="162"/>
      <c r="AH57" s="163"/>
      <c r="AI57" s="162"/>
      <c r="AJ57" s="164"/>
      <c r="AK57" s="146"/>
      <c r="AL57" s="146"/>
      <c r="AM57" s="146"/>
      <c r="AN57" s="146"/>
      <c r="AO57" s="146"/>
    </row>
    <row r="58" spans="8:8" ht="24.75" customHeight="1">
      <c r="A58" s="12"/>
      <c r="B58" s="12" t="s">
        <v>393</v>
      </c>
      <c r="C58" s="50" t="s">
        <v>394</v>
      </c>
      <c r="D58" s="64">
        <v>100.0</v>
      </c>
      <c r="E58" s="63">
        <f>14-1-1-3</f>
        <v>9.0</v>
      </c>
      <c r="F58" s="54">
        <f t="shared" si="27"/>
        <v>900.0</v>
      </c>
      <c r="G58" s="53"/>
      <c r="H58" s="53"/>
      <c r="I58" s="63">
        <f>5-1</f>
        <v>4.0</v>
      </c>
      <c r="J58" s="54">
        <f t="shared" si="30" ref="J58:J68">I58*D58</f>
        <v>400.0</v>
      </c>
      <c r="K58" s="53"/>
      <c r="L58" s="53"/>
      <c r="M58" s="63">
        <f>26-1</f>
        <v>25.0</v>
      </c>
      <c r="N58" s="54">
        <f t="shared" si="28"/>
        <v>2500.0</v>
      </c>
      <c r="O58" s="53"/>
      <c r="P58" s="53"/>
      <c r="Q58" s="63">
        <f>7-1</f>
        <v>6.0</v>
      </c>
      <c r="R58" s="165">
        <f t="shared" si="29"/>
        <v>600.0</v>
      </c>
      <c r="S58" s="63">
        <f>11-2-1</f>
        <v>8.0</v>
      </c>
      <c r="T58" s="166">
        <f t="shared" si="31" ref="T58:T59">D58*S58</f>
        <v>800.0</v>
      </c>
      <c r="U58" s="52"/>
      <c r="V58" s="53"/>
      <c r="W58" s="53"/>
      <c r="X58" s="53"/>
      <c r="Y58" s="159">
        <f t="shared" si="32" ref="Y58:Y59">2</f>
        <v>2.0</v>
      </c>
      <c r="Z58" s="53"/>
      <c r="AA58" s="53"/>
      <c r="AB58" s="160">
        <f>1-1</f>
        <v>0.0</v>
      </c>
      <c r="AC58" s="107"/>
      <c r="AD58" s="53"/>
      <c r="AE58" s="53"/>
      <c r="AF58" s="53"/>
      <c r="AG58" s="53"/>
      <c r="AH58" s="53"/>
      <c r="AI58" s="53"/>
      <c r="AJ58" s="108" t="s">
        <v>395</v>
      </c>
      <c r="AK58" s="146"/>
      <c r="AL58" s="146"/>
      <c r="AM58" s="146"/>
      <c r="AN58" s="146"/>
      <c r="AO58" s="146"/>
    </row>
    <row r="59" spans="8:8" ht="24.75" customHeight="1">
      <c r="A59" s="12"/>
      <c r="B59" s="12" t="s">
        <v>396</v>
      </c>
      <c r="C59" s="50" t="s">
        <v>397</v>
      </c>
      <c r="D59" s="64">
        <v>100.0</v>
      </c>
      <c r="E59" s="53">
        <f>4-1-1-2</f>
        <v>0.0</v>
      </c>
      <c r="F59" s="53">
        <f t="shared" si="27"/>
        <v>0.0</v>
      </c>
      <c r="G59" s="53"/>
      <c r="H59" s="53"/>
      <c r="I59" s="53">
        <f>1-1</f>
        <v>0.0</v>
      </c>
      <c r="J59" s="53">
        <f t="shared" si="30"/>
        <v>0.0</v>
      </c>
      <c r="K59" s="53"/>
      <c r="L59" s="53"/>
      <c r="M59" s="53">
        <f>1-1</f>
        <v>0.0</v>
      </c>
      <c r="N59" s="53">
        <f t="shared" si="28"/>
        <v>0.0</v>
      </c>
      <c r="O59" s="53"/>
      <c r="P59" s="53"/>
      <c r="Q59" s="53">
        <f>2-1-1</f>
        <v>0.0</v>
      </c>
      <c r="R59" s="55">
        <f t="shared" si="29"/>
        <v>0.0</v>
      </c>
      <c r="S59" s="53">
        <f>6-1-1-2-2</f>
        <v>0.0</v>
      </c>
      <c r="T59" s="158">
        <f t="shared" si="31"/>
        <v>0.0</v>
      </c>
      <c r="U59" s="52"/>
      <c r="V59" s="53"/>
      <c r="W59" s="53"/>
      <c r="X59" s="53"/>
      <c r="Y59" s="159">
        <f t="shared" si="32"/>
        <v>2.0</v>
      </c>
      <c r="Z59" s="53"/>
      <c r="AA59" s="53"/>
      <c r="AB59" s="160">
        <f>2-1-1</f>
        <v>0.0</v>
      </c>
      <c r="AC59" s="107"/>
      <c r="AD59" s="53"/>
      <c r="AE59" s="53"/>
      <c r="AF59" s="53"/>
      <c r="AG59" s="53"/>
      <c r="AH59" s="53"/>
      <c r="AI59" s="53"/>
      <c r="AJ59" s="108"/>
      <c r="AK59" s="146"/>
      <c r="AL59" s="146"/>
      <c r="AM59" s="146"/>
      <c r="AN59" s="146"/>
      <c r="AO59" s="146"/>
    </row>
    <row r="60" spans="8:8" ht="24.75" customHeight="1">
      <c r="A60" s="12"/>
      <c r="B60" s="12" t="s">
        <v>398</v>
      </c>
      <c r="C60" s="50" t="s">
        <v>399</v>
      </c>
      <c r="D60" s="64">
        <v>100.0</v>
      </c>
      <c r="E60" s="63">
        <f>5+6-1-3+8-4-1</f>
        <v>10.0</v>
      </c>
      <c r="F60" s="54">
        <f t="shared" si="27"/>
        <v>1000.0</v>
      </c>
      <c r="G60" s="53"/>
      <c r="H60" s="53"/>
      <c r="I60" s="53">
        <f>3+1-2-2</f>
        <v>0.0</v>
      </c>
      <c r="J60" s="53">
        <f t="shared" si="30"/>
        <v>0.0</v>
      </c>
      <c r="K60" s="53"/>
      <c r="L60" s="53"/>
      <c r="M60" s="63">
        <f>4+4-2-1</f>
        <v>5.0</v>
      </c>
      <c r="N60" s="54">
        <f t="shared" si="28"/>
        <v>500.0</v>
      </c>
      <c r="O60" s="53"/>
      <c r="P60" s="53"/>
      <c r="Q60" s="63">
        <f>7+6-1-1-1</f>
        <v>10.0</v>
      </c>
      <c r="R60" s="165">
        <f t="shared" si="29"/>
        <v>1000.0</v>
      </c>
      <c r="S60" s="63">
        <f>9-1-1-3</f>
        <v>4.0</v>
      </c>
      <c r="T60" s="166">
        <f t="shared" si="33" ref="T60:T68">S60*D60</f>
        <v>400.0</v>
      </c>
      <c r="U60" s="52"/>
      <c r="V60" s="53"/>
      <c r="W60" s="53"/>
      <c r="X60" s="53"/>
      <c r="Y60" s="159">
        <f>4</f>
        <v>4.0</v>
      </c>
      <c r="Z60" s="53"/>
      <c r="AA60" s="53"/>
      <c r="AB60" s="160">
        <f>1</f>
        <v>1.0</v>
      </c>
      <c r="AC60" s="107"/>
      <c r="AD60" s="53"/>
      <c r="AE60" s="53"/>
      <c r="AF60" s="53"/>
      <c r="AG60" s="53"/>
      <c r="AH60" s="53"/>
      <c r="AI60" s="53"/>
      <c r="AJ60" s="108"/>
      <c r="AK60" s="146"/>
      <c r="AL60" s="146"/>
      <c r="AM60" s="146"/>
      <c r="AN60" s="146"/>
      <c r="AO60" s="146"/>
    </row>
    <row r="61" spans="8:8" ht="24.75" customHeight="1">
      <c r="A61" s="12"/>
      <c r="B61" s="12" t="s">
        <v>400</v>
      </c>
      <c r="C61" s="50" t="s">
        <v>370</v>
      </c>
      <c r="D61" s="64">
        <v>100.0</v>
      </c>
      <c r="E61" s="63">
        <f>15-1-2-1</f>
        <v>11.0</v>
      </c>
      <c r="F61" s="54">
        <f t="shared" si="27"/>
        <v>1100.0</v>
      </c>
      <c r="G61" s="53"/>
      <c r="H61" s="53"/>
      <c r="I61" s="63">
        <f>3-1-1</f>
        <v>1.0</v>
      </c>
      <c r="J61" s="54">
        <f t="shared" si="30"/>
        <v>100.0</v>
      </c>
      <c r="K61" s="53"/>
      <c r="L61" s="53"/>
      <c r="M61" s="63">
        <f>7-1-1-2-2</f>
        <v>1.0</v>
      </c>
      <c r="N61" s="54">
        <f t="shared" si="28"/>
        <v>100.0</v>
      </c>
      <c r="O61" s="53"/>
      <c r="P61" s="53"/>
      <c r="Q61" s="63">
        <f>7</f>
        <v>7.0</v>
      </c>
      <c r="R61" s="165">
        <f t="shared" si="29"/>
        <v>700.0</v>
      </c>
      <c r="S61" s="63">
        <f>10</f>
        <v>10.0</v>
      </c>
      <c r="T61" s="166">
        <f t="shared" si="33"/>
        <v>1000.0</v>
      </c>
      <c r="U61" s="52"/>
      <c r="V61" s="53"/>
      <c r="W61" s="53"/>
      <c r="X61" s="53"/>
      <c r="Y61" s="159">
        <f>3</f>
        <v>3.0</v>
      </c>
      <c r="Z61" s="53"/>
      <c r="AA61" s="53"/>
      <c r="AB61" s="160">
        <f t="shared" si="34" ref="AB61:AB62">3</f>
        <v>3.0</v>
      </c>
      <c r="AC61" s="107"/>
      <c r="AD61" s="53"/>
      <c r="AE61" s="53"/>
      <c r="AF61" s="53"/>
      <c r="AG61" s="53"/>
      <c r="AH61" s="53"/>
      <c r="AI61" s="53"/>
      <c r="AJ61" s="108"/>
      <c r="AK61" s="146"/>
      <c r="AL61" s="146"/>
      <c r="AM61" s="146"/>
      <c r="AN61" s="146"/>
      <c r="AO61" s="146"/>
    </row>
    <row r="62" spans="8:8" ht="24.75" customHeight="1">
      <c r="A62" s="12"/>
      <c r="B62" s="12" t="s">
        <v>401</v>
      </c>
      <c r="C62" s="50" t="s">
        <v>402</v>
      </c>
      <c r="D62" s="64">
        <v>100.0</v>
      </c>
      <c r="E62" s="63">
        <f>4-1</f>
        <v>3.0</v>
      </c>
      <c r="F62" s="54">
        <f t="shared" si="27"/>
        <v>300.0</v>
      </c>
      <c r="G62" s="53"/>
      <c r="H62" s="53"/>
      <c r="I62" s="53">
        <f>3-1-2</f>
        <v>0.0</v>
      </c>
      <c r="J62" s="53">
        <f t="shared" si="30"/>
        <v>0.0</v>
      </c>
      <c r="K62" s="53"/>
      <c r="L62" s="53"/>
      <c r="M62" s="53">
        <f>7-1-1-1-4</f>
        <v>0.0</v>
      </c>
      <c r="N62" s="53">
        <f t="shared" si="28"/>
        <v>0.0</v>
      </c>
      <c r="O62" s="53"/>
      <c r="P62" s="53"/>
      <c r="Q62" s="63">
        <f>6-3-1-1</f>
        <v>1.0</v>
      </c>
      <c r="R62" s="165">
        <f t="shared" si="29"/>
        <v>100.0</v>
      </c>
      <c r="S62" s="63">
        <f>6-1-2</f>
        <v>3.0</v>
      </c>
      <c r="T62" s="166">
        <f t="shared" si="33"/>
        <v>300.0</v>
      </c>
      <c r="U62" s="52"/>
      <c r="V62" s="53"/>
      <c r="W62" s="53"/>
      <c r="X62" s="53"/>
      <c r="Y62" s="159">
        <f t="shared" si="35" ref="Y62:Y63">2</f>
        <v>2.0</v>
      </c>
      <c r="Z62" s="53"/>
      <c r="AA62" s="53"/>
      <c r="AB62" s="160">
        <f t="shared" si="34"/>
        <v>3.0</v>
      </c>
      <c r="AC62" s="107"/>
      <c r="AD62" s="53"/>
      <c r="AE62" s="53"/>
      <c r="AF62" s="53"/>
      <c r="AG62" s="63">
        <f t="shared" si="36" ref="AG62:AG63">1</f>
        <v>1.0</v>
      </c>
      <c r="AH62" s="53"/>
      <c r="AI62" s="53"/>
      <c r="AJ62" s="112">
        <f>3-1</f>
        <v>2.0</v>
      </c>
      <c r="AK62" s="146"/>
      <c r="AL62" s="146"/>
      <c r="AM62" s="146"/>
      <c r="AN62" s="146"/>
      <c r="AO62" s="146"/>
    </row>
    <row r="63" spans="8:8" ht="24.75" customHeight="1">
      <c r="A63" s="12"/>
      <c r="B63" s="12" t="s">
        <v>403</v>
      </c>
      <c r="C63" s="50" t="s">
        <v>404</v>
      </c>
      <c r="D63" s="64">
        <v>100.0</v>
      </c>
      <c r="E63" s="53">
        <f>4-3-1</f>
        <v>0.0</v>
      </c>
      <c r="F63" s="53">
        <f t="shared" si="27"/>
        <v>0.0</v>
      </c>
      <c r="G63" s="53"/>
      <c r="H63" s="53"/>
      <c r="I63" s="53">
        <f>1-1</f>
        <v>0.0</v>
      </c>
      <c r="J63" s="53">
        <f t="shared" si="30"/>
        <v>0.0</v>
      </c>
      <c r="K63" s="53"/>
      <c r="L63" s="53"/>
      <c r="M63" s="53">
        <f>5-1-1-2-1</f>
        <v>0.0</v>
      </c>
      <c r="N63" s="53">
        <f t="shared" si="28"/>
        <v>0.0</v>
      </c>
      <c r="O63" s="53"/>
      <c r="P63" s="53"/>
      <c r="Q63" s="53">
        <f t="shared" si="37" ref="Q63:Q64">4-1-2-1</f>
        <v>0.0</v>
      </c>
      <c r="R63" s="55">
        <f t="shared" si="29"/>
        <v>0.0</v>
      </c>
      <c r="S63" s="63">
        <f>5-1-1-1</f>
        <v>2.0</v>
      </c>
      <c r="T63" s="166">
        <f t="shared" si="33"/>
        <v>200.0</v>
      </c>
      <c r="U63" s="52"/>
      <c r="V63" s="53"/>
      <c r="W63" s="53"/>
      <c r="X63" s="53"/>
      <c r="Y63" s="159">
        <f t="shared" si="35"/>
        <v>2.0</v>
      </c>
      <c r="Z63" s="53"/>
      <c r="AA63" s="53"/>
      <c r="AB63" s="160">
        <f t="shared" si="38" ref="AB63:AB64">2</f>
        <v>2.0</v>
      </c>
      <c r="AC63" s="107"/>
      <c r="AD63" s="53"/>
      <c r="AE63" s="53"/>
      <c r="AF63" s="53"/>
      <c r="AG63" s="63">
        <f t="shared" si="36"/>
        <v>1.0</v>
      </c>
      <c r="AH63" s="53"/>
      <c r="AI63" s="53"/>
      <c r="AJ63" s="112">
        <f>1</f>
        <v>1.0</v>
      </c>
      <c r="AK63" s="146"/>
      <c r="AL63" s="146"/>
      <c r="AM63" s="146"/>
      <c r="AN63" s="146"/>
      <c r="AO63" s="146"/>
    </row>
    <row r="64" spans="8:8" ht="24.75" customHeight="1">
      <c r="A64" s="12"/>
      <c r="B64" s="12" t="s">
        <v>405</v>
      </c>
      <c r="C64" s="50" t="s">
        <v>406</v>
      </c>
      <c r="D64" s="64">
        <v>100.0</v>
      </c>
      <c r="E64" s="53">
        <f t="shared" si="39" ref="E64:E65">1-1</f>
        <v>0.0</v>
      </c>
      <c r="F64" s="53">
        <f t="shared" si="27"/>
        <v>0.0</v>
      </c>
      <c r="G64" s="53"/>
      <c r="H64" s="53"/>
      <c r="I64" s="53">
        <f>2-2</f>
        <v>0.0</v>
      </c>
      <c r="J64" s="53">
        <f t="shared" si="30"/>
        <v>0.0</v>
      </c>
      <c r="K64" s="53"/>
      <c r="L64" s="53"/>
      <c r="M64" s="53">
        <f>5-1-4</f>
        <v>0.0</v>
      </c>
      <c r="N64" s="53">
        <f t="shared" si="28"/>
        <v>0.0</v>
      </c>
      <c r="O64" s="53"/>
      <c r="P64" s="53"/>
      <c r="Q64" s="53">
        <f t="shared" si="37"/>
        <v>0.0</v>
      </c>
      <c r="R64" s="55">
        <f t="shared" si="29"/>
        <v>0.0</v>
      </c>
      <c r="S64" s="53">
        <f>6-2-1-1-2</f>
        <v>0.0</v>
      </c>
      <c r="T64" s="158">
        <f t="shared" si="33"/>
        <v>0.0</v>
      </c>
      <c r="U64" s="52"/>
      <c r="V64" s="53"/>
      <c r="W64" s="53"/>
      <c r="X64" s="53"/>
      <c r="Y64" s="159">
        <f>4-1</f>
        <v>3.0</v>
      </c>
      <c r="Z64" s="53"/>
      <c r="AA64" s="53"/>
      <c r="AB64" s="160">
        <f t="shared" si="38"/>
        <v>2.0</v>
      </c>
      <c r="AC64" s="107"/>
      <c r="AD64" s="53"/>
      <c r="AE64" s="53"/>
      <c r="AF64" s="53"/>
      <c r="AG64" s="63">
        <f>3</f>
        <v>3.0</v>
      </c>
      <c r="AH64" s="53"/>
      <c r="AI64" s="53"/>
      <c r="AJ64" s="112">
        <f t="shared" si="40" ref="AJ64:AJ65">2</f>
        <v>2.0</v>
      </c>
      <c r="AK64" s="146"/>
      <c r="AL64" s="146"/>
      <c r="AM64" s="146"/>
      <c r="AN64" s="146"/>
      <c r="AO64" s="146"/>
    </row>
    <row r="65" spans="8:8" ht="24.75" customHeight="1">
      <c r="A65" s="12"/>
      <c r="B65" s="12" t="s">
        <v>407</v>
      </c>
      <c r="C65" s="50" t="s">
        <v>408</v>
      </c>
      <c r="D65" s="64">
        <v>100.0</v>
      </c>
      <c r="E65" s="53">
        <f t="shared" si="39"/>
        <v>0.0</v>
      </c>
      <c r="F65" s="53">
        <f t="shared" si="27"/>
        <v>0.0</v>
      </c>
      <c r="G65" s="53"/>
      <c r="H65" s="53"/>
      <c r="I65" s="53">
        <f>7-2-1-2-2</f>
        <v>0.0</v>
      </c>
      <c r="J65" s="53">
        <f t="shared" si="30"/>
        <v>0.0</v>
      </c>
      <c r="K65" s="53"/>
      <c r="L65" s="53"/>
      <c r="M65" s="53">
        <f>6-1-1-1-2-1</f>
        <v>0.0</v>
      </c>
      <c r="N65" s="53">
        <f t="shared" si="28"/>
        <v>0.0</v>
      </c>
      <c r="O65" s="53"/>
      <c r="P65" s="53"/>
      <c r="Q65" s="53">
        <f>6-4-1-1</f>
        <v>0.0</v>
      </c>
      <c r="R65" s="55">
        <f t="shared" si="29"/>
        <v>0.0</v>
      </c>
      <c r="S65" s="53">
        <f>4-2-1-1</f>
        <v>0.0</v>
      </c>
      <c r="T65" s="158">
        <f t="shared" si="33"/>
        <v>0.0</v>
      </c>
      <c r="U65" s="52"/>
      <c r="V65" s="53"/>
      <c r="W65" s="53"/>
      <c r="X65" s="53"/>
      <c r="Y65" s="159">
        <f>3</f>
        <v>3.0</v>
      </c>
      <c r="Z65" s="53"/>
      <c r="AA65" s="53"/>
      <c r="AB65" s="160">
        <f>3</f>
        <v>3.0</v>
      </c>
      <c r="AC65" s="107"/>
      <c r="AD65" s="53"/>
      <c r="AE65" s="53"/>
      <c r="AF65" s="53"/>
      <c r="AG65" s="63">
        <f>2</f>
        <v>2.0</v>
      </c>
      <c r="AH65" s="53"/>
      <c r="AI65" s="53"/>
      <c r="AJ65" s="112">
        <f t="shared" si="40"/>
        <v>2.0</v>
      </c>
      <c r="AK65" s="146"/>
      <c r="AL65" s="146"/>
      <c r="AM65" s="146"/>
      <c r="AN65" s="146"/>
      <c r="AO65" s="146"/>
    </row>
    <row r="66" spans="8:8" ht="24.75" customHeight="1">
      <c r="A66" s="12"/>
      <c r="B66" s="12" t="s">
        <v>409</v>
      </c>
      <c r="C66" s="50" t="s">
        <v>410</v>
      </c>
      <c r="D66" s="64">
        <v>100.0</v>
      </c>
      <c r="E66" s="63">
        <f>10-1-1-1-1-2-1</f>
        <v>3.0</v>
      </c>
      <c r="F66" s="54">
        <f t="shared" si="27"/>
        <v>300.0</v>
      </c>
      <c r="G66" s="53"/>
      <c r="H66" s="53"/>
      <c r="I66" s="63">
        <f>10-1</f>
        <v>9.0</v>
      </c>
      <c r="J66" s="54">
        <f t="shared" si="30"/>
        <v>900.0</v>
      </c>
      <c r="K66" s="53"/>
      <c r="L66" s="53"/>
      <c r="M66" s="63">
        <f>10-3-1</f>
        <v>6.0</v>
      </c>
      <c r="N66" s="54">
        <f t="shared" si="28"/>
        <v>600.0</v>
      </c>
      <c r="O66" s="53"/>
      <c r="P66" s="53"/>
      <c r="Q66" s="63">
        <f>7-1</f>
        <v>6.0</v>
      </c>
      <c r="R66" s="165">
        <f t="shared" si="29"/>
        <v>600.0</v>
      </c>
      <c r="S66" s="63">
        <f>6-1</f>
        <v>5.0</v>
      </c>
      <c r="T66" s="166">
        <f t="shared" si="33"/>
        <v>500.0</v>
      </c>
      <c r="U66" s="52"/>
      <c r="V66" s="53"/>
      <c r="W66" s="53"/>
      <c r="X66" s="53"/>
      <c r="Y66" s="159">
        <v>2.0</v>
      </c>
      <c r="Z66" s="53"/>
      <c r="AA66" s="53"/>
      <c r="AB66" s="160">
        <f>4-1-1</f>
        <v>2.0</v>
      </c>
      <c r="AC66" s="107"/>
      <c r="AD66" s="53"/>
      <c r="AE66" s="53"/>
      <c r="AF66" s="53"/>
      <c r="AG66" s="63">
        <f>3</f>
        <v>3.0</v>
      </c>
      <c r="AH66" s="53"/>
      <c r="AI66" s="53"/>
      <c r="AJ66" s="112">
        <f>4</f>
        <v>4.0</v>
      </c>
      <c r="AK66" s="146"/>
      <c r="AL66" s="146"/>
      <c r="AM66" s="146"/>
      <c r="AN66" s="146"/>
      <c r="AO66" s="146"/>
    </row>
    <row r="67" spans="8:8" ht="24.75" customHeight="1">
      <c r="A67" s="12"/>
      <c r="B67" s="12" t="s">
        <v>411</v>
      </c>
      <c r="C67" s="167" t="s">
        <v>412</v>
      </c>
      <c r="D67" s="64">
        <v>100.0</v>
      </c>
      <c r="E67" s="63">
        <f>14-10</f>
        <v>4.0</v>
      </c>
      <c r="F67" s="54">
        <f t="shared" si="27"/>
        <v>400.0</v>
      </c>
      <c r="G67" s="53"/>
      <c r="H67" s="53"/>
      <c r="I67" s="63">
        <f>12-1</f>
        <v>11.0</v>
      </c>
      <c r="J67" s="54">
        <f t="shared" si="30"/>
        <v>1100.0</v>
      </c>
      <c r="K67" s="53"/>
      <c r="L67" s="53"/>
      <c r="M67" s="63">
        <f>15-5</f>
        <v>10.0</v>
      </c>
      <c r="N67" s="54">
        <f t="shared" si="28"/>
        <v>1000.0</v>
      </c>
      <c r="O67" s="53"/>
      <c r="P67" s="53"/>
      <c r="Q67" s="63">
        <f>18-1-1</f>
        <v>16.0</v>
      </c>
      <c r="R67" s="165">
        <f t="shared" si="29"/>
        <v>1600.0</v>
      </c>
      <c r="S67" s="63">
        <f>17</f>
        <v>17.0</v>
      </c>
      <c r="T67" s="166">
        <f t="shared" si="33"/>
        <v>1700.0</v>
      </c>
      <c r="U67" s="52"/>
      <c r="V67" s="53"/>
      <c r="W67" s="53"/>
      <c r="X67" s="53"/>
      <c r="Y67" s="159">
        <f>2</f>
        <v>2.0</v>
      </c>
      <c r="Z67" s="53"/>
      <c r="AA67" s="53"/>
      <c r="AB67" s="160">
        <f>2-1</f>
        <v>1.0</v>
      </c>
      <c r="AC67" s="107"/>
      <c r="AD67" s="53"/>
      <c r="AE67" s="53"/>
      <c r="AF67" s="53"/>
      <c r="AG67" s="53"/>
      <c r="AH67" s="53"/>
      <c r="AI67" s="53"/>
      <c r="AJ67" s="108"/>
      <c r="AK67" s="146"/>
      <c r="AL67" s="146"/>
      <c r="AM67" s="146"/>
      <c r="AN67" s="146"/>
      <c r="AO67" s="146"/>
    </row>
    <row r="68" spans="8:8" ht="24.75" customHeight="1">
      <c r="A68" s="12"/>
      <c r="B68" s="168" t="s">
        <v>1236</v>
      </c>
      <c r="C68" s="130" t="s">
        <v>382</v>
      </c>
      <c r="D68" s="64">
        <v>100.0</v>
      </c>
      <c r="E68" s="63">
        <f>10</f>
        <v>10.0</v>
      </c>
      <c r="F68" s="54">
        <f t="shared" si="27"/>
        <v>1000.0</v>
      </c>
      <c r="G68" s="63">
        <f>10</f>
        <v>10.0</v>
      </c>
      <c r="H68" s="63">
        <f>G68*D68</f>
        <v>1000.0</v>
      </c>
      <c r="I68" s="63">
        <f>10</f>
        <v>10.0</v>
      </c>
      <c r="J68" s="54">
        <f t="shared" si="30"/>
        <v>1000.0</v>
      </c>
      <c r="K68" s="63">
        <f>10-1</f>
        <v>9.0</v>
      </c>
      <c r="L68" s="63">
        <f>K68*D68</f>
        <v>900.0</v>
      </c>
      <c r="M68" s="63">
        <f>10</f>
        <v>10.0</v>
      </c>
      <c r="N68" s="54">
        <f t="shared" si="28"/>
        <v>1000.0</v>
      </c>
      <c r="O68" s="63">
        <f>10</f>
        <v>10.0</v>
      </c>
      <c r="P68" s="63">
        <f>O68*D68</f>
        <v>1000.0</v>
      </c>
      <c r="Q68" s="63">
        <f>10-1</f>
        <v>9.0</v>
      </c>
      <c r="R68" s="165">
        <f t="shared" si="29"/>
        <v>900.0</v>
      </c>
      <c r="S68" s="63">
        <f>10</f>
        <v>10.0</v>
      </c>
      <c r="T68" s="166">
        <f t="shared" si="33"/>
        <v>1000.0</v>
      </c>
      <c r="U68" s="169">
        <f t="shared" si="41" ref="U68:AJ68">4</f>
        <v>4.0</v>
      </c>
      <c r="V68" s="84">
        <f t="shared" si="41"/>
        <v>4.0</v>
      </c>
      <c r="W68" s="170">
        <f t="shared" si="41"/>
        <v>4.0</v>
      </c>
      <c r="X68" s="171">
        <f t="shared" si="41"/>
        <v>4.0</v>
      </c>
      <c r="Y68" s="170">
        <f t="shared" si="41"/>
        <v>4.0</v>
      </c>
      <c r="Z68" s="84">
        <f t="shared" si="41"/>
        <v>4.0</v>
      </c>
      <c r="AA68" s="84">
        <f t="shared" si="41"/>
        <v>4.0</v>
      </c>
      <c r="AB68" s="172">
        <f t="shared" si="41"/>
        <v>4.0</v>
      </c>
      <c r="AC68" s="173">
        <f t="shared" si="41"/>
        <v>4.0</v>
      </c>
      <c r="AD68" s="139">
        <f t="shared" si="41"/>
        <v>4.0</v>
      </c>
      <c r="AE68" s="139">
        <f t="shared" si="41"/>
        <v>4.0</v>
      </c>
      <c r="AF68" s="139">
        <f t="shared" si="41"/>
        <v>4.0</v>
      </c>
      <c r="AG68" s="139">
        <f t="shared" si="41"/>
        <v>4.0</v>
      </c>
      <c r="AH68" s="139">
        <f t="shared" si="41"/>
        <v>4.0</v>
      </c>
      <c r="AI68" s="139">
        <f t="shared" si="41"/>
        <v>4.0</v>
      </c>
      <c r="AJ68" s="140">
        <f t="shared" si="41"/>
        <v>4.0</v>
      </c>
      <c r="AK68" s="146"/>
      <c r="AL68" s="146"/>
      <c r="AM68" s="146"/>
      <c r="AN68" s="146"/>
      <c r="AO68" s="146"/>
    </row>
    <row r="69" spans="8:8" ht="15.75" customHeight="1">
      <c r="A69" s="12"/>
      <c r="B69" s="12"/>
      <c r="C69" s="8"/>
      <c r="D69" s="8"/>
      <c r="E69" s="8"/>
      <c r="F69" s="8"/>
      <c r="G69" s="8"/>
      <c r="H69" s="8"/>
      <c r="I69" s="8"/>
      <c r="J69" s="8"/>
      <c r="K69" s="174"/>
      <c r="L69" s="174"/>
      <c r="M69" s="174"/>
      <c r="N69" s="174"/>
      <c r="O69" s="174"/>
      <c r="P69" s="174"/>
      <c r="Q69" s="174"/>
      <c r="R69" s="174"/>
      <c r="S69" s="174"/>
      <c r="T69" s="174"/>
      <c r="U69" s="174"/>
      <c r="V69" s="174"/>
      <c r="W69" s="174"/>
      <c r="X69" s="174"/>
      <c r="Y69" s="174"/>
      <c r="Z69" s="174"/>
      <c r="AA69" s="174"/>
      <c r="AB69" s="174"/>
      <c r="AC69" s="174"/>
      <c r="AD69" s="174"/>
      <c r="AE69" s="174"/>
      <c r="AF69" s="174"/>
      <c r="AG69" s="174"/>
      <c r="AH69" s="174"/>
      <c r="AI69" s="174"/>
      <c r="AJ69" s="12"/>
      <c r="AK69" s="146"/>
      <c r="AL69" s="146"/>
      <c r="AM69" s="146"/>
      <c r="AN69" s="146"/>
      <c r="AO69" s="146"/>
    </row>
    <row r="70" spans="8:8" ht="15.75" customHeight="1">
      <c r="A70" s="12"/>
      <c r="B70" s="12"/>
      <c r="C70" s="152" t="s">
        <v>384</v>
      </c>
      <c r="D70" s="8"/>
      <c r="E70" s="8"/>
      <c r="F70" s="8"/>
      <c r="G70" s="153"/>
      <c r="H70" s="153"/>
      <c r="I70" s="153"/>
      <c r="J70" s="153"/>
      <c r="K70" s="153"/>
      <c r="L70" s="153"/>
      <c r="M70" s="153"/>
      <c r="N70" s="153"/>
      <c r="O70" s="153"/>
      <c r="P70" s="153"/>
      <c r="Q70" s="153"/>
      <c r="R70" s="153"/>
      <c r="S70" s="153"/>
      <c r="T70" s="153"/>
      <c r="U70" s="152" t="s">
        <v>352</v>
      </c>
      <c r="V70" s="152" t="s">
        <v>352</v>
      </c>
      <c r="W70" s="152" t="s">
        <v>352</v>
      </c>
      <c r="X70" s="152" t="s">
        <v>352</v>
      </c>
      <c r="Y70" s="152" t="s">
        <v>352</v>
      </c>
      <c r="Z70" s="152" t="s">
        <v>352</v>
      </c>
      <c r="AA70" s="152" t="s">
        <v>352</v>
      </c>
      <c r="AB70" s="152" t="s">
        <v>352</v>
      </c>
      <c r="AC70" s="152"/>
      <c r="AD70" s="152"/>
      <c r="AE70" s="152"/>
      <c r="AF70" s="152"/>
      <c r="AG70" s="152"/>
      <c r="AH70" s="152"/>
      <c r="AI70" s="152" t="s">
        <v>352</v>
      </c>
      <c r="AJ70" s="152" t="s">
        <v>352</v>
      </c>
      <c r="AK70" s="146"/>
      <c r="AL70" s="146"/>
      <c r="AM70" s="146"/>
      <c r="AN70" s="146"/>
      <c r="AO70" s="146"/>
    </row>
    <row r="71" spans="8:8" ht="15.75" customHeight="1">
      <c r="A71" s="12"/>
      <c r="B71" s="12"/>
      <c r="C71" s="36" t="s">
        <v>413</v>
      </c>
      <c r="D71" s="155" t="s">
        <v>321</v>
      </c>
      <c r="E71" s="156" t="s">
        <v>322</v>
      </c>
      <c r="F71" s="54" t="s">
        <v>334</v>
      </c>
      <c r="G71" s="40" t="s">
        <v>322</v>
      </c>
      <c r="H71" s="41" t="s">
        <v>1211</v>
      </c>
      <c r="I71" s="156" t="s">
        <v>322</v>
      </c>
      <c r="J71" s="175" t="s">
        <v>414</v>
      </c>
      <c r="K71" s="176" t="s">
        <v>322</v>
      </c>
      <c r="L71" s="177" t="s">
        <v>1212</v>
      </c>
      <c r="M71" s="156" t="s">
        <v>322</v>
      </c>
      <c r="N71" s="54" t="s">
        <v>324</v>
      </c>
      <c r="O71" s="43" t="s">
        <v>322</v>
      </c>
      <c r="P71" s="45" t="s">
        <v>1213</v>
      </c>
      <c r="Q71" s="156" t="s">
        <v>322</v>
      </c>
      <c r="R71" s="54" t="s">
        <v>325</v>
      </c>
      <c r="S71" s="156" t="s">
        <v>322</v>
      </c>
      <c r="T71" s="178" t="s">
        <v>326</v>
      </c>
      <c r="U71" s="179" t="s">
        <v>1215</v>
      </c>
      <c r="V71" s="180" t="s">
        <v>1216</v>
      </c>
      <c r="W71" s="180" t="s">
        <v>1217</v>
      </c>
      <c r="X71" s="180" t="s">
        <v>1218</v>
      </c>
      <c r="Y71" s="181" t="s">
        <v>387</v>
      </c>
      <c r="Z71" s="180" t="s">
        <v>1220</v>
      </c>
      <c r="AA71" s="180" t="s">
        <v>1221</v>
      </c>
      <c r="AB71" s="182" t="s">
        <v>388</v>
      </c>
      <c r="AC71" s="183" t="s">
        <v>1223</v>
      </c>
      <c r="AD71" s="184" t="s">
        <v>1224</v>
      </c>
      <c r="AE71" s="184" t="s">
        <v>1225</v>
      </c>
      <c r="AF71" s="184" t="s">
        <v>1226</v>
      </c>
      <c r="AG71" s="184" t="s">
        <v>355</v>
      </c>
      <c r="AH71" s="184" t="s">
        <v>1227</v>
      </c>
      <c r="AI71" s="184" t="s">
        <v>1228</v>
      </c>
      <c r="AJ71" s="185" t="s">
        <v>356</v>
      </c>
      <c r="AK71" s="8"/>
      <c r="AL71" s="8"/>
      <c r="AM71" s="146"/>
      <c r="AN71" s="146"/>
      <c r="AO71" s="146"/>
    </row>
    <row r="72" spans="8:8" ht="24.75" customHeight="1">
      <c r="A72" s="12"/>
      <c r="B72" s="12" t="s">
        <v>417</v>
      </c>
      <c r="C72" s="100" t="s">
        <v>418</v>
      </c>
      <c r="D72" s="64">
        <v>100.0</v>
      </c>
      <c r="E72" s="53">
        <f>5-1+10-4-3-1-2-3-1</f>
        <v>0.0</v>
      </c>
      <c r="F72" s="53">
        <f t="shared" si="42" ref="F72:F85">E72*D72</f>
        <v>0.0</v>
      </c>
      <c r="G72" s="53"/>
      <c r="H72" s="53"/>
      <c r="I72" s="53">
        <f>10-2-3-1-1-1+10-4-2-1-1-1-1-2</f>
        <v>0.0</v>
      </c>
      <c r="J72" s="53">
        <f t="shared" si="43" ref="J72:J79">I72*D72</f>
        <v>0.0</v>
      </c>
      <c r="K72" s="53"/>
      <c r="L72" s="53"/>
      <c r="M72" s="53">
        <f>5-1-1-1-1-1</f>
        <v>0.0</v>
      </c>
      <c r="N72" s="53">
        <f t="shared" si="44" ref="N72:N73">D72*M72</f>
        <v>0.0</v>
      </c>
      <c r="O72" s="53"/>
      <c r="P72" s="53"/>
      <c r="Q72" s="53">
        <f>10-1-1-1-3-3-1</f>
        <v>0.0</v>
      </c>
      <c r="R72" s="53">
        <f t="shared" si="45" ref="R72:R73">Q72*D72</f>
        <v>0.0</v>
      </c>
      <c r="S72" s="53">
        <f>9-1-1-1-1-4-1</f>
        <v>0.0</v>
      </c>
      <c r="T72" s="129">
        <f t="shared" si="46" ref="T72:T85">S72*D72</f>
        <v>0.0</v>
      </c>
      <c r="U72" s="186"/>
      <c r="V72" s="187"/>
      <c r="W72" s="162"/>
      <c r="X72" s="162"/>
      <c r="Y72" s="188">
        <f>11</f>
        <v>11.0</v>
      </c>
      <c r="Z72" s="162"/>
      <c r="AA72" s="162"/>
      <c r="AB72" s="189">
        <f>8-1-1</f>
        <v>6.0</v>
      </c>
      <c r="AC72" s="161"/>
      <c r="AD72" s="162"/>
      <c r="AE72" s="53"/>
      <c r="AF72" s="162"/>
      <c r="AG72" s="63">
        <f t="shared" si="47" ref="AG72:AG73">12</f>
        <v>12.0</v>
      </c>
      <c r="AH72" s="53"/>
      <c r="AI72" s="53"/>
      <c r="AJ72" s="112">
        <f>10</f>
        <v>10.0</v>
      </c>
      <c r="AK72" s="4"/>
      <c r="AL72" s="3"/>
      <c r="AM72" s="146"/>
      <c r="AN72" s="146"/>
      <c r="AO72" s="146"/>
    </row>
    <row r="73" spans="8:8" ht="24.75" customHeight="1">
      <c r="A73" s="12"/>
      <c r="B73" s="12" t="s">
        <v>419</v>
      </c>
      <c r="C73" s="50" t="s">
        <v>420</v>
      </c>
      <c r="D73" s="64">
        <v>100.0</v>
      </c>
      <c r="E73" s="190">
        <f>10-1-2-2-2-1-1-1</f>
        <v>0.0</v>
      </c>
      <c r="F73" s="53">
        <f t="shared" si="42"/>
        <v>0.0</v>
      </c>
      <c r="G73" s="53"/>
      <c r="H73" s="53"/>
      <c r="I73" s="190">
        <f>4-2-1-1</f>
        <v>0.0</v>
      </c>
      <c r="J73" s="53">
        <f t="shared" si="43"/>
        <v>0.0</v>
      </c>
      <c r="K73" s="53"/>
      <c r="L73" s="53"/>
      <c r="M73" s="190">
        <f>12-2-1-4-1-1-1-1-1</f>
        <v>0.0</v>
      </c>
      <c r="N73" s="53">
        <f t="shared" si="44"/>
        <v>0.0</v>
      </c>
      <c r="O73" s="53"/>
      <c r="P73" s="53"/>
      <c r="Q73" s="190">
        <f>27-1-1-1-2-1-1-1-1-2-2-1</f>
        <v>13.0</v>
      </c>
      <c r="R73" s="54">
        <f t="shared" si="45"/>
        <v>1300.0</v>
      </c>
      <c r="S73" s="190">
        <f>27-1-1-2</f>
        <v>23.0</v>
      </c>
      <c r="T73" s="178">
        <f t="shared" si="46"/>
        <v>2300.0</v>
      </c>
      <c r="U73" s="191"/>
      <c r="V73" s="192"/>
      <c r="W73" s="53"/>
      <c r="X73" s="53"/>
      <c r="Y73" s="63">
        <f>9-1</f>
        <v>8.0</v>
      </c>
      <c r="Z73" s="53"/>
      <c r="AA73" s="53"/>
      <c r="AB73" s="106">
        <f>11-1-1-1</f>
        <v>8.0</v>
      </c>
      <c r="AC73" s="107"/>
      <c r="AD73" s="53"/>
      <c r="AE73" s="53"/>
      <c r="AF73" s="53"/>
      <c r="AG73" s="63">
        <f t="shared" si="47"/>
        <v>12.0</v>
      </c>
      <c r="AH73" s="53"/>
      <c r="AI73" s="53"/>
      <c r="AJ73" s="112">
        <f>11-1</f>
        <v>10.0</v>
      </c>
      <c r="AK73" s="4"/>
      <c r="AL73" s="3"/>
      <c r="AM73" s="146"/>
      <c r="AN73" s="146"/>
      <c r="AO73" s="146"/>
    </row>
    <row r="74" spans="8:8" ht="24.75" customHeight="1">
      <c r="A74" s="12"/>
      <c r="B74" s="12" t="s">
        <v>421</v>
      </c>
      <c r="C74" s="50" t="s">
        <v>422</v>
      </c>
      <c r="D74" s="64">
        <v>100.0</v>
      </c>
      <c r="E74" s="53">
        <f>12-1-2-6-3</f>
        <v>0.0</v>
      </c>
      <c r="F74" s="53">
        <f t="shared" si="42"/>
        <v>0.0</v>
      </c>
      <c r="G74" s="53"/>
      <c r="H74" s="53"/>
      <c r="I74" s="53">
        <f>1-1</f>
        <v>0.0</v>
      </c>
      <c r="J74" s="53">
        <f t="shared" si="43"/>
        <v>0.0</v>
      </c>
      <c r="K74" s="53"/>
      <c r="L74" s="53"/>
      <c r="M74" s="53"/>
      <c r="N74" s="53"/>
      <c r="O74" s="53"/>
      <c r="P74" s="53"/>
      <c r="Q74" s="53">
        <f>7-1-1-1-1-1-1-1</f>
        <v>0.0</v>
      </c>
      <c r="R74" s="53">
        <f t="shared" si="48" ref="R74:R85">D74*Q74</f>
        <v>0.0</v>
      </c>
      <c r="S74" s="190">
        <f>12-4-1-2-1-1-2</f>
        <v>1.0</v>
      </c>
      <c r="T74" s="178">
        <f t="shared" si="46"/>
        <v>100.0</v>
      </c>
      <c r="U74" s="191"/>
      <c r="V74" s="192"/>
      <c r="W74" s="53"/>
      <c r="X74" s="53"/>
      <c r="Y74" s="63">
        <f t="shared" si="49" ref="Y74:Y75">4</f>
        <v>4.0</v>
      </c>
      <c r="Z74" s="53"/>
      <c r="AA74" s="53"/>
      <c r="AB74" s="106">
        <f>6-1-1</f>
        <v>4.0</v>
      </c>
      <c r="AC74" s="107"/>
      <c r="AD74" s="53"/>
      <c r="AE74" s="53"/>
      <c r="AF74" s="53"/>
      <c r="AG74" s="63">
        <f t="shared" si="50" ref="AG74:AG75">4</f>
        <v>4.0</v>
      </c>
      <c r="AH74" s="53"/>
      <c r="AI74" s="53"/>
      <c r="AJ74" s="112">
        <f>4</f>
        <v>4.0</v>
      </c>
      <c r="AK74" s="4"/>
      <c r="AL74" s="3"/>
      <c r="AM74" s="146"/>
      <c r="AN74" s="146"/>
      <c r="AO74" s="146"/>
    </row>
    <row r="75" spans="8:8" ht="24.75" customHeight="1">
      <c r="A75" s="12"/>
      <c r="B75" s="12" t="s">
        <v>423</v>
      </c>
      <c r="C75" s="50" t="s">
        <v>424</v>
      </c>
      <c r="D75" s="64">
        <v>100.0</v>
      </c>
      <c r="E75" s="63">
        <f>14-3-1</f>
        <v>10.0</v>
      </c>
      <c r="F75" s="54">
        <f t="shared" si="42"/>
        <v>1000.0</v>
      </c>
      <c r="G75" s="190">
        <f>4</f>
        <v>4.0</v>
      </c>
      <c r="H75" s="54">
        <f>G75*D75</f>
        <v>400.0</v>
      </c>
      <c r="I75" s="190">
        <f>5+4-1-1</f>
        <v>7.0</v>
      </c>
      <c r="J75" s="54">
        <f t="shared" si="43"/>
        <v>700.0</v>
      </c>
      <c r="K75" s="190">
        <f>4</f>
        <v>4.0</v>
      </c>
      <c r="L75" s="103">
        <f>K75*D75</f>
        <v>400.0</v>
      </c>
      <c r="M75" s="190">
        <f>3-1-2</f>
        <v>0.0</v>
      </c>
      <c r="N75" s="53">
        <f t="shared" si="51" ref="N75:N85">D75*M75</f>
        <v>0.0</v>
      </c>
      <c r="O75" s="53"/>
      <c r="P75" s="53"/>
      <c r="Q75" s="190">
        <f>14-1+1-1</f>
        <v>13.0</v>
      </c>
      <c r="R75" s="54">
        <f t="shared" si="48"/>
        <v>1300.0</v>
      </c>
      <c r="S75" s="190">
        <f>12-1-1-1-2-1-1-1</f>
        <v>4.0</v>
      </c>
      <c r="T75" s="178">
        <f t="shared" si="46"/>
        <v>400.0</v>
      </c>
      <c r="U75" s="191"/>
      <c r="V75" s="192"/>
      <c r="W75" s="63">
        <f>3</f>
        <v>3.0</v>
      </c>
      <c r="X75" s="53"/>
      <c r="Y75" s="63">
        <f t="shared" si="49"/>
        <v>4.0</v>
      </c>
      <c r="Z75" s="53"/>
      <c r="AA75" s="53"/>
      <c r="AB75" s="106">
        <f>2-1</f>
        <v>1.0</v>
      </c>
      <c r="AC75" s="107"/>
      <c r="AD75" s="53"/>
      <c r="AE75" s="63">
        <f>5</f>
        <v>5.0</v>
      </c>
      <c r="AF75" s="53"/>
      <c r="AG75" s="63">
        <f t="shared" si="50"/>
        <v>4.0</v>
      </c>
      <c r="AH75" s="53"/>
      <c r="AI75" s="53"/>
      <c r="AJ75" s="112">
        <f t="shared" si="52" ref="AJ75:AJ76">3</f>
        <v>3.0</v>
      </c>
      <c r="AK75" s="4"/>
      <c r="AL75" s="3"/>
      <c r="AM75" s="146"/>
      <c r="AN75" s="146"/>
      <c r="AO75" s="146"/>
    </row>
    <row r="76" spans="8:8" ht="24.75" customHeight="1">
      <c r="A76" s="12"/>
      <c r="B76" s="12" t="s">
        <v>425</v>
      </c>
      <c r="C76" s="50" t="s">
        <v>370</v>
      </c>
      <c r="D76" s="64">
        <v>100.0</v>
      </c>
      <c r="E76" s="63">
        <f>10</f>
        <v>10.0</v>
      </c>
      <c r="F76" s="54">
        <f t="shared" si="42"/>
        <v>1000.0</v>
      </c>
      <c r="G76" s="53"/>
      <c r="H76" s="53"/>
      <c r="I76" s="190">
        <f>10-2-1-1</f>
        <v>6.0</v>
      </c>
      <c r="J76" s="54">
        <f t="shared" si="43"/>
        <v>600.0</v>
      </c>
      <c r="K76" s="53"/>
      <c r="L76" s="53"/>
      <c r="M76" s="190">
        <f>13-1-2</f>
        <v>10.0</v>
      </c>
      <c r="N76" s="54">
        <f t="shared" si="51"/>
        <v>1000.0</v>
      </c>
      <c r="O76" s="53"/>
      <c r="P76" s="53"/>
      <c r="Q76" s="190">
        <f>10-1</f>
        <v>9.0</v>
      </c>
      <c r="R76" s="54">
        <f t="shared" si="48"/>
        <v>900.0</v>
      </c>
      <c r="S76" s="190">
        <f>14-1-1-1</f>
        <v>11.0</v>
      </c>
      <c r="T76" s="157">
        <f t="shared" si="46"/>
        <v>1100.0</v>
      </c>
      <c r="U76" s="191"/>
      <c r="V76" s="192"/>
      <c r="W76" s="53"/>
      <c r="X76" s="53"/>
      <c r="Y76" s="63">
        <f>5</f>
        <v>5.0</v>
      </c>
      <c r="Z76" s="53"/>
      <c r="AA76" s="53"/>
      <c r="AB76" s="106">
        <f>6</f>
        <v>6.0</v>
      </c>
      <c r="AC76" s="107"/>
      <c r="AD76" s="53"/>
      <c r="AE76" s="53"/>
      <c r="AF76" s="53"/>
      <c r="AG76" s="63">
        <f>2</f>
        <v>2.0</v>
      </c>
      <c r="AH76" s="53"/>
      <c r="AI76" s="53"/>
      <c r="AJ76" s="112">
        <f t="shared" si="52"/>
        <v>3.0</v>
      </c>
      <c r="AK76" s="4"/>
      <c r="AL76" s="3"/>
      <c r="AM76" s="146"/>
      <c r="AN76" s="146"/>
      <c r="AO76" s="146"/>
    </row>
    <row r="77" spans="8:8" ht="24.75" customHeight="1">
      <c r="A77" s="12"/>
      <c r="B77" s="12" t="s">
        <v>426</v>
      </c>
      <c r="C77" s="50" t="s">
        <v>427</v>
      </c>
      <c r="D77" s="64">
        <v>100.0</v>
      </c>
      <c r="E77" s="63">
        <f>11-1-1</f>
        <v>9.0</v>
      </c>
      <c r="F77" s="54">
        <f t="shared" si="42"/>
        <v>900.0</v>
      </c>
      <c r="G77" s="53"/>
      <c r="H77" s="53"/>
      <c r="I77" s="190">
        <f>3-1-1</f>
        <v>1.0</v>
      </c>
      <c r="J77" s="54">
        <f t="shared" si="43"/>
        <v>100.0</v>
      </c>
      <c r="K77" s="53"/>
      <c r="L77" s="53"/>
      <c r="M77" s="190">
        <f>4-1+10-3-1-3-1-1-1-1-2</f>
        <v>0.0</v>
      </c>
      <c r="N77" s="53">
        <f t="shared" si="51"/>
        <v>0.0</v>
      </c>
      <c r="O77" s="53"/>
      <c r="P77" s="53"/>
      <c r="Q77" s="190">
        <f>7-1-1</f>
        <v>5.0</v>
      </c>
      <c r="R77" s="54">
        <f t="shared" si="48"/>
        <v>500.0</v>
      </c>
      <c r="S77" s="190">
        <f>10-2-2-1-1-1-1-1-1</f>
        <v>0.0</v>
      </c>
      <c r="T77" s="129">
        <f t="shared" si="46"/>
        <v>0.0</v>
      </c>
      <c r="U77" s="191"/>
      <c r="V77" s="192"/>
      <c r="W77" s="53"/>
      <c r="X77" s="53"/>
      <c r="Y77" s="63">
        <f>1</f>
        <v>1.0</v>
      </c>
      <c r="Z77" s="53"/>
      <c r="AA77" s="53"/>
      <c r="AB77" s="106">
        <f>4-1</f>
        <v>3.0</v>
      </c>
      <c r="AC77" s="107"/>
      <c r="AD77" s="53"/>
      <c r="AE77" s="53"/>
      <c r="AF77" s="53"/>
      <c r="AG77" s="63">
        <f>1</f>
        <v>1.0</v>
      </c>
      <c r="AH77" s="53"/>
      <c r="AI77" s="53"/>
      <c r="AJ77" s="112">
        <f>7</f>
        <v>7.0</v>
      </c>
      <c r="AK77" s="4"/>
      <c r="AL77" s="3"/>
      <c r="AM77" s="146"/>
      <c r="AN77" s="146"/>
      <c r="AO77" s="146"/>
    </row>
    <row r="78" spans="8:8" ht="24.75" customHeight="1">
      <c r="A78" s="12"/>
      <c r="B78" s="12" t="s">
        <v>428</v>
      </c>
      <c r="C78" s="50" t="s">
        <v>429</v>
      </c>
      <c r="D78" s="64">
        <v>100.0</v>
      </c>
      <c r="E78" s="63">
        <f>19-2+4-2-2</f>
        <v>17.0</v>
      </c>
      <c r="F78" s="54">
        <f t="shared" si="42"/>
        <v>1700.0</v>
      </c>
      <c r="G78" s="190">
        <f>5</f>
        <v>5.0</v>
      </c>
      <c r="H78" s="54">
        <f>G78*D78</f>
        <v>500.0</v>
      </c>
      <c r="I78" s="190">
        <f>15-1-1-1+5-2-3</f>
        <v>12.0</v>
      </c>
      <c r="J78" s="54">
        <f t="shared" si="43"/>
        <v>1200.0</v>
      </c>
      <c r="K78" s="190">
        <f>5</f>
        <v>5.0</v>
      </c>
      <c r="L78" s="103">
        <f>K78*D78</f>
        <v>500.0</v>
      </c>
      <c r="M78" s="190">
        <f>14+5-2</f>
        <v>17.0</v>
      </c>
      <c r="N78" s="54">
        <f t="shared" si="51"/>
        <v>1700.0</v>
      </c>
      <c r="O78" s="190">
        <f>5</f>
        <v>5.0</v>
      </c>
      <c r="P78" s="103">
        <f>O78*D78</f>
        <v>500.0</v>
      </c>
      <c r="Q78" s="190">
        <f>33-1-1-1-1-1</f>
        <v>28.0</v>
      </c>
      <c r="R78" s="54">
        <f t="shared" si="48"/>
        <v>2800.0</v>
      </c>
      <c r="S78" s="190">
        <f>48-1-1</f>
        <v>46.0</v>
      </c>
      <c r="T78" s="157">
        <f t="shared" si="46"/>
        <v>4600.0</v>
      </c>
      <c r="U78" s="191"/>
      <c r="V78" s="192"/>
      <c r="W78" s="53"/>
      <c r="X78" s="53"/>
      <c r="Y78" s="63">
        <f>13</f>
        <v>13.0</v>
      </c>
      <c r="Z78" s="53"/>
      <c r="AA78" s="53"/>
      <c r="AB78" s="106">
        <f>10-1-1-1+3</f>
        <v>10.0</v>
      </c>
      <c r="AC78" s="107"/>
      <c r="AD78" s="53"/>
      <c r="AE78" s="53"/>
      <c r="AF78" s="53"/>
      <c r="AG78" s="63">
        <f t="shared" si="53" ref="AG78:AG79">15</f>
        <v>15.0</v>
      </c>
      <c r="AH78" s="53"/>
      <c r="AI78" s="53"/>
      <c r="AJ78" s="112">
        <f>10+5</f>
        <v>15.0</v>
      </c>
      <c r="AK78" s="4"/>
      <c r="AL78" s="3"/>
      <c r="AM78" s="146"/>
      <c r="AN78" s="146"/>
      <c r="AO78" s="146"/>
    </row>
    <row r="79" spans="8:8" ht="24.75" customHeight="1">
      <c r="A79" s="12"/>
      <c r="B79" s="12" t="s">
        <v>430</v>
      </c>
      <c r="C79" s="50" t="s">
        <v>431</v>
      </c>
      <c r="D79" s="64">
        <v>100.0</v>
      </c>
      <c r="E79" s="190">
        <f>50</f>
        <v>50.0</v>
      </c>
      <c r="F79" s="54">
        <f t="shared" si="42"/>
        <v>5000.0</v>
      </c>
      <c r="G79" s="53"/>
      <c r="H79" s="53"/>
      <c r="I79" s="190">
        <f>28</f>
        <v>28.0</v>
      </c>
      <c r="J79" s="54">
        <f t="shared" si="43"/>
        <v>2800.0</v>
      </c>
      <c r="K79" s="53"/>
      <c r="L79" s="53"/>
      <c r="M79" s="190">
        <f>37</f>
        <v>37.0</v>
      </c>
      <c r="N79" s="54">
        <f t="shared" si="51"/>
        <v>3700.0</v>
      </c>
      <c r="O79" s="53"/>
      <c r="P79" s="53"/>
      <c r="Q79" s="190">
        <f>39</f>
        <v>39.0</v>
      </c>
      <c r="R79" s="54">
        <f t="shared" si="48"/>
        <v>3900.0</v>
      </c>
      <c r="S79" s="190">
        <f>39-1</f>
        <v>38.0</v>
      </c>
      <c r="T79" s="157">
        <f t="shared" si="46"/>
        <v>3800.0</v>
      </c>
      <c r="U79" s="191"/>
      <c r="V79" s="192"/>
      <c r="W79" s="53"/>
      <c r="X79" s="53"/>
      <c r="Y79" s="63">
        <f>17</f>
        <v>17.0</v>
      </c>
      <c r="Z79" s="53"/>
      <c r="AA79" s="53"/>
      <c r="AB79" s="106">
        <f>21-1-1</f>
        <v>19.0</v>
      </c>
      <c r="AC79" s="107"/>
      <c r="AD79" s="53"/>
      <c r="AE79" s="53"/>
      <c r="AF79" s="53"/>
      <c r="AG79" s="63">
        <f t="shared" si="53"/>
        <v>15.0</v>
      </c>
      <c r="AH79" s="53"/>
      <c r="AI79" s="53"/>
      <c r="AJ79" s="112">
        <f>15</f>
        <v>15.0</v>
      </c>
      <c r="AK79" s="4"/>
      <c r="AL79" s="3"/>
      <c r="AM79" s="146"/>
      <c r="AN79" s="146"/>
      <c r="AO79" s="146"/>
    </row>
    <row r="80" spans="8:8" ht="24.75" customHeight="1">
      <c r="A80" s="12"/>
      <c r="B80" s="12" t="s">
        <v>432</v>
      </c>
      <c r="C80" s="50" t="s">
        <v>433</v>
      </c>
      <c r="D80" s="64">
        <v>100.0</v>
      </c>
      <c r="E80" s="190">
        <f>3-1-2</f>
        <v>0.0</v>
      </c>
      <c r="F80" s="53">
        <f t="shared" si="42"/>
        <v>0.0</v>
      </c>
      <c r="G80" s="53"/>
      <c r="H80" s="53"/>
      <c r="I80" s="53"/>
      <c r="J80" s="53"/>
      <c r="K80" s="53"/>
      <c r="L80" s="53"/>
      <c r="M80" s="190">
        <f>4-1-3</f>
        <v>0.0</v>
      </c>
      <c r="N80" s="53">
        <f t="shared" si="51"/>
        <v>0.0</v>
      </c>
      <c r="O80" s="53"/>
      <c r="P80" s="53"/>
      <c r="Q80" s="190">
        <f>10-1-1-2-1-1-1-1-2</f>
        <v>0.0</v>
      </c>
      <c r="R80" s="53">
        <f t="shared" si="48"/>
        <v>0.0</v>
      </c>
      <c r="S80" s="190">
        <f>3-1-1-1</f>
        <v>0.0</v>
      </c>
      <c r="T80" s="129">
        <f t="shared" si="46"/>
        <v>0.0</v>
      </c>
      <c r="U80" s="191"/>
      <c r="V80" s="192"/>
      <c r="W80" s="53"/>
      <c r="X80" s="53"/>
      <c r="Y80" s="63">
        <f>4</f>
        <v>4.0</v>
      </c>
      <c r="Z80" s="53"/>
      <c r="AA80" s="53"/>
      <c r="AB80" s="129"/>
      <c r="AC80" s="107"/>
      <c r="AD80" s="53"/>
      <c r="AE80" s="53"/>
      <c r="AF80" s="53"/>
      <c r="AG80" s="63">
        <f>3</f>
        <v>3.0</v>
      </c>
      <c r="AH80" s="53"/>
      <c r="AI80" s="53"/>
      <c r="AJ80" s="112">
        <f>4</f>
        <v>4.0</v>
      </c>
      <c r="AK80" s="4"/>
      <c r="AL80" s="3"/>
      <c r="AM80" s="146"/>
      <c r="AN80" s="146"/>
      <c r="AO80" s="146"/>
    </row>
    <row r="81" spans="8:8" ht="24.75" customHeight="1">
      <c r="A81" s="12"/>
      <c r="B81" s="12" t="s">
        <v>434</v>
      </c>
      <c r="C81" s="50" t="s">
        <v>435</v>
      </c>
      <c r="D81" s="64">
        <v>100.0</v>
      </c>
      <c r="E81" s="190">
        <f>7-1+10-1-3-1-2-1-1-1</f>
        <v>6.0</v>
      </c>
      <c r="F81" s="54">
        <f t="shared" si="42"/>
        <v>600.0</v>
      </c>
      <c r="G81" s="53"/>
      <c r="H81" s="53"/>
      <c r="I81" s="190">
        <f>2-1-1</f>
        <v>0.0</v>
      </c>
      <c r="J81" s="54">
        <f t="shared" si="54" ref="J81:J85">I81*D81</f>
        <v>0.0</v>
      </c>
      <c r="K81" s="53"/>
      <c r="L81" s="53"/>
      <c r="M81" s="190">
        <f>5-1-2-2</f>
        <v>0.0</v>
      </c>
      <c r="N81" s="53">
        <f t="shared" si="51"/>
        <v>0.0</v>
      </c>
      <c r="O81" s="53"/>
      <c r="P81" s="53"/>
      <c r="Q81" s="190">
        <f>7-1-1-1</f>
        <v>4.0</v>
      </c>
      <c r="R81" s="54">
        <f t="shared" si="48"/>
        <v>400.0</v>
      </c>
      <c r="S81" s="190">
        <f>4-1-1-1</f>
        <v>1.0</v>
      </c>
      <c r="T81" s="178">
        <f t="shared" si="46"/>
        <v>100.0</v>
      </c>
      <c r="U81" s="191"/>
      <c r="V81" s="192"/>
      <c r="W81" s="53"/>
      <c r="X81" s="53"/>
      <c r="Y81" s="63">
        <f>3</f>
        <v>3.0</v>
      </c>
      <c r="Z81" s="53"/>
      <c r="AA81" s="53"/>
      <c r="AB81" s="106">
        <f>6-1</f>
        <v>5.0</v>
      </c>
      <c r="AC81" s="107"/>
      <c r="AD81" s="53"/>
      <c r="AE81" s="53"/>
      <c r="AF81" s="53"/>
      <c r="AG81" s="53"/>
      <c r="AH81" s="53"/>
      <c r="AI81" s="53"/>
      <c r="AJ81" s="112">
        <f>3-1</f>
        <v>2.0</v>
      </c>
      <c r="AK81" s="4"/>
      <c r="AL81" s="3"/>
      <c r="AM81" s="146"/>
      <c r="AN81" s="146"/>
      <c r="AO81" s="146"/>
    </row>
    <row r="82" spans="8:8" ht="24.75" customHeight="1">
      <c r="A82" s="12"/>
      <c r="B82" s="12" t="s">
        <v>436</v>
      </c>
      <c r="C82" s="50" t="s">
        <v>437</v>
      </c>
      <c r="D82" s="64">
        <v>100.0</v>
      </c>
      <c r="E82" s="190">
        <f>9+4-1-1-3</f>
        <v>8.0</v>
      </c>
      <c r="F82" s="54">
        <f t="shared" si="42"/>
        <v>800.0</v>
      </c>
      <c r="G82" s="190">
        <f>4</f>
        <v>4.0</v>
      </c>
      <c r="H82" s="63">
        <f>G82*D82</f>
        <v>400.0</v>
      </c>
      <c r="I82" s="190">
        <f>8+4-2-2-2-1</f>
        <v>5.0</v>
      </c>
      <c r="J82" s="54">
        <f t="shared" si="54"/>
        <v>500.0</v>
      </c>
      <c r="K82" s="190">
        <f>4</f>
        <v>4.0</v>
      </c>
      <c r="L82" s="63">
        <f>K82*D82</f>
        <v>400.0</v>
      </c>
      <c r="M82" s="190">
        <f>2+4-3-1-1-1</f>
        <v>0.0</v>
      </c>
      <c r="N82" s="54">
        <f t="shared" si="51"/>
        <v>0.0</v>
      </c>
      <c r="O82" s="190">
        <f>4</f>
        <v>4.0</v>
      </c>
      <c r="P82" s="63">
        <f>O82*D82</f>
        <v>400.0</v>
      </c>
      <c r="Q82" s="190">
        <f>13-2+4</f>
        <v>15.0</v>
      </c>
      <c r="R82" s="54">
        <f t="shared" si="48"/>
        <v>1500.0</v>
      </c>
      <c r="S82" s="190">
        <f>8-1+4-1</f>
        <v>10.0</v>
      </c>
      <c r="T82" s="178">
        <f t="shared" si="46"/>
        <v>1000.0</v>
      </c>
      <c r="U82" s="61">
        <f>2-1+1</f>
        <v>2.0</v>
      </c>
      <c r="V82" s="63">
        <f t="shared" si="55" ref="V82:X82">2</f>
        <v>2.0</v>
      </c>
      <c r="W82" s="63">
        <f t="shared" si="55"/>
        <v>2.0</v>
      </c>
      <c r="X82" s="63">
        <f t="shared" si="55"/>
        <v>2.0</v>
      </c>
      <c r="Y82" s="63">
        <f>3+2</f>
        <v>5.0</v>
      </c>
      <c r="Z82" s="63">
        <f t="shared" si="56" ref="Z82:AA82">2</f>
        <v>2.0</v>
      </c>
      <c r="AA82" s="63">
        <f t="shared" si="56"/>
        <v>2.0</v>
      </c>
      <c r="AB82" s="106">
        <f>4+2</f>
        <v>6.0</v>
      </c>
      <c r="AC82" s="193">
        <f>5</f>
        <v>5.0</v>
      </c>
      <c r="AD82" s="53"/>
      <c r="AE82" s="63">
        <f>5</f>
        <v>5.0</v>
      </c>
      <c r="AF82" s="53"/>
      <c r="AG82" s="63">
        <f>2+5</f>
        <v>7.0</v>
      </c>
      <c r="AH82" s="53"/>
      <c r="AI82" s="63">
        <f>5</f>
        <v>5.0</v>
      </c>
      <c r="AJ82" s="112">
        <f>6-1+5</f>
        <v>10.0</v>
      </c>
      <c r="AK82" s="4"/>
      <c r="AL82" s="3"/>
      <c r="AM82" s="146"/>
      <c r="AN82" s="146"/>
      <c r="AO82" s="146"/>
    </row>
    <row r="83" spans="8:8" ht="24.75" customHeight="1">
      <c r="A83" s="12"/>
      <c r="B83" s="12" t="s">
        <v>438</v>
      </c>
      <c r="C83" s="50" t="s">
        <v>439</v>
      </c>
      <c r="D83" s="64">
        <v>100.0</v>
      </c>
      <c r="E83" s="190">
        <f>20-1-2-1-2-3</f>
        <v>11.0</v>
      </c>
      <c r="F83" s="54">
        <f t="shared" si="42"/>
        <v>1100.0</v>
      </c>
      <c r="G83" s="53"/>
      <c r="H83" s="53"/>
      <c r="I83" s="190">
        <f>30-1-2-2-1-1-1-3-2-1-6-1-4-1-1</f>
        <v>3.0</v>
      </c>
      <c r="J83" s="54">
        <f t="shared" si="54"/>
        <v>300.0</v>
      </c>
      <c r="K83" s="53"/>
      <c r="L83" s="53"/>
      <c r="M83" s="190">
        <f>26-1-1-3-1-1</f>
        <v>19.0</v>
      </c>
      <c r="N83" s="54">
        <f t="shared" si="51"/>
        <v>1900.0</v>
      </c>
      <c r="O83" s="53"/>
      <c r="P83" s="53"/>
      <c r="Q83" s="190">
        <f>27-1</f>
        <v>26.0</v>
      </c>
      <c r="R83" s="54">
        <f t="shared" si="48"/>
        <v>2600.0</v>
      </c>
      <c r="S83" s="190">
        <f>33-1-1-1</f>
        <v>30.0</v>
      </c>
      <c r="T83" s="157">
        <f t="shared" si="46"/>
        <v>3000.0</v>
      </c>
      <c r="U83" s="191" t="s">
        <v>18</v>
      </c>
      <c r="V83" s="192"/>
      <c r="W83" s="53"/>
      <c r="X83" s="53"/>
      <c r="Y83" s="63">
        <f>10</f>
        <v>10.0</v>
      </c>
      <c r="Z83" s="53"/>
      <c r="AA83" s="53"/>
      <c r="AB83" s="106">
        <f>11-1-1</f>
        <v>9.0</v>
      </c>
      <c r="AC83" s="107"/>
      <c r="AD83" s="53"/>
      <c r="AE83" s="53"/>
      <c r="AF83" s="53"/>
      <c r="AG83" s="63">
        <f>9</f>
        <v>9.0</v>
      </c>
      <c r="AH83" s="53"/>
      <c r="AI83" s="53"/>
      <c r="AJ83" s="112">
        <f>10</f>
        <v>10.0</v>
      </c>
      <c r="AK83" s="4"/>
      <c r="AL83" s="3"/>
      <c r="AM83" s="146"/>
      <c r="AN83" s="146"/>
      <c r="AO83" s="146"/>
    </row>
    <row r="84" spans="8:8" ht="24.75" customHeight="1">
      <c r="A84" s="12"/>
      <c r="B84" s="12" t="s">
        <v>440</v>
      </c>
      <c r="C84" s="50" t="s">
        <v>441</v>
      </c>
      <c r="D84" s="64">
        <v>100.0</v>
      </c>
      <c r="E84" s="190">
        <f>19</f>
        <v>19.0</v>
      </c>
      <c r="F84" s="54">
        <f t="shared" si="42"/>
        <v>1900.0</v>
      </c>
      <c r="G84" s="53"/>
      <c r="H84" s="53"/>
      <c r="I84" s="190">
        <f>14-2</f>
        <v>12.0</v>
      </c>
      <c r="J84" s="54">
        <f t="shared" si="54"/>
        <v>1200.0</v>
      </c>
      <c r="K84" s="53"/>
      <c r="L84" s="53"/>
      <c r="M84" s="190">
        <f>7</f>
        <v>7.0</v>
      </c>
      <c r="N84" s="54">
        <f t="shared" si="51"/>
        <v>700.0</v>
      </c>
      <c r="O84" s="53"/>
      <c r="P84" s="53"/>
      <c r="Q84" s="190">
        <f>16-1-1</f>
        <v>14.0</v>
      </c>
      <c r="R84" s="54">
        <f t="shared" si="48"/>
        <v>1400.0</v>
      </c>
      <c r="S84" s="190">
        <f>15</f>
        <v>15.0</v>
      </c>
      <c r="T84" s="157">
        <f t="shared" si="46"/>
        <v>1500.0</v>
      </c>
      <c r="U84" s="191"/>
      <c r="V84" s="192"/>
      <c r="W84" s="53"/>
      <c r="X84" s="53"/>
      <c r="Y84" s="63">
        <f>4</f>
        <v>4.0</v>
      </c>
      <c r="Z84" s="53"/>
      <c r="AA84" s="53"/>
      <c r="AB84" s="106">
        <f>3</f>
        <v>3.0</v>
      </c>
      <c r="AC84" s="107"/>
      <c r="AD84" s="53"/>
      <c r="AE84" s="53"/>
      <c r="AF84" s="53"/>
      <c r="AG84" s="63">
        <f>3</f>
        <v>3.0</v>
      </c>
      <c r="AH84" s="53"/>
      <c r="AI84" s="53"/>
      <c r="AJ84" s="112">
        <f>2</f>
        <v>2.0</v>
      </c>
      <c r="AK84" s="4"/>
      <c r="AL84" s="3"/>
      <c r="AM84" s="146"/>
      <c r="AN84" s="146"/>
      <c r="AO84" s="146"/>
    </row>
    <row r="85" spans="8:8" ht="24.75" customHeight="1">
      <c r="A85" s="12"/>
      <c r="B85" s="12" t="s">
        <v>442</v>
      </c>
      <c r="C85" s="167" t="s">
        <v>443</v>
      </c>
      <c r="D85" s="64">
        <v>100.0</v>
      </c>
      <c r="E85" s="190">
        <f>13-3</f>
        <v>10.0</v>
      </c>
      <c r="F85" s="54">
        <f t="shared" si="42"/>
        <v>1000.0</v>
      </c>
      <c r="G85" s="53"/>
      <c r="H85" s="53"/>
      <c r="I85" s="190">
        <f>10-1-2-2</f>
        <v>5.0</v>
      </c>
      <c r="J85" s="54">
        <f t="shared" si="54"/>
        <v>500.0</v>
      </c>
      <c r="K85" s="53"/>
      <c r="L85" s="53"/>
      <c r="M85" s="190">
        <f>16-2-1-2</f>
        <v>11.0</v>
      </c>
      <c r="N85" s="54">
        <f t="shared" si="51"/>
        <v>1100.0</v>
      </c>
      <c r="O85" s="53"/>
      <c r="P85" s="53"/>
      <c r="Q85" s="190">
        <f>12-1-2</f>
        <v>9.0</v>
      </c>
      <c r="R85" s="54">
        <f t="shared" si="48"/>
        <v>900.0</v>
      </c>
      <c r="S85" s="190">
        <f>12-1-1</f>
        <v>10.0</v>
      </c>
      <c r="T85" s="157">
        <f t="shared" si="46"/>
        <v>1000.0</v>
      </c>
      <c r="U85" s="194"/>
      <c r="V85" s="195"/>
      <c r="W85" s="80"/>
      <c r="X85" s="80"/>
      <c r="Y85" s="84">
        <f>5</f>
        <v>5.0</v>
      </c>
      <c r="Z85" s="80"/>
      <c r="AA85" s="80"/>
      <c r="AB85" s="136">
        <f>4-1-1</f>
        <v>2.0</v>
      </c>
      <c r="AC85" s="137"/>
      <c r="AD85" s="138"/>
      <c r="AE85" s="138"/>
      <c r="AF85" s="138"/>
      <c r="AG85" s="139">
        <f>4</f>
        <v>4.0</v>
      </c>
      <c r="AH85" s="138"/>
      <c r="AI85" s="138"/>
      <c r="AJ85" s="140">
        <f>4</f>
        <v>4.0</v>
      </c>
      <c r="AK85" s="4"/>
      <c r="AL85" s="3"/>
      <c r="AM85" s="146"/>
      <c r="AN85" s="146"/>
      <c r="AO85" s="146"/>
    </row>
    <row r="86" spans="8:8" ht="15.75" hidden="1" customHeight="1">
      <c r="A86" s="12"/>
      <c r="B86" s="196" t="s">
        <v>444</v>
      </c>
      <c r="C86" s="197" t="s">
        <v>402</v>
      </c>
      <c r="D86" s="198"/>
      <c r="E86" s="199"/>
      <c r="F86" s="200"/>
      <c r="G86" s="201"/>
      <c r="H86" s="201"/>
      <c r="I86" s="201"/>
      <c r="J86" s="202"/>
      <c r="K86" s="203"/>
      <c r="L86" s="203"/>
      <c r="M86" s="203"/>
      <c r="N86" s="204"/>
      <c r="O86" s="203"/>
      <c r="P86" s="203"/>
      <c r="Q86" s="203"/>
      <c r="R86" s="204"/>
      <c r="S86" s="203"/>
      <c r="T86" s="205"/>
      <c r="U86" s="206"/>
      <c r="V86" s="207"/>
      <c r="W86" s="208"/>
      <c r="X86" s="209"/>
      <c r="Y86" s="209"/>
      <c r="Z86" s="209"/>
      <c r="AA86" s="209"/>
      <c r="AB86" s="209"/>
      <c r="AC86" s="209"/>
      <c r="AD86" s="209"/>
      <c r="AE86" s="209"/>
      <c r="AF86" s="209"/>
      <c r="AG86" s="209"/>
      <c r="AH86" s="209"/>
      <c r="AI86" s="209"/>
      <c r="AJ86" s="210"/>
      <c r="AK86" s="146"/>
      <c r="AL86" s="146"/>
      <c r="AM86" s="146"/>
      <c r="AN86" s="146"/>
      <c r="AO86" s="146"/>
    </row>
    <row r="87" spans="8:8" ht="15.75" hidden="1" customHeight="1">
      <c r="A87" s="12"/>
      <c r="B87" s="196" t="s">
        <v>445</v>
      </c>
      <c r="C87" s="211" t="s">
        <v>404</v>
      </c>
      <c r="D87" s="21"/>
      <c r="E87" s="8"/>
      <c r="F87" s="143"/>
      <c r="G87" s="153"/>
      <c r="H87" s="153"/>
      <c r="I87" s="153"/>
      <c r="J87" s="212"/>
      <c r="K87" s="174"/>
      <c r="L87" s="174"/>
      <c r="M87" s="174"/>
      <c r="N87" s="213"/>
      <c r="O87" s="174"/>
      <c r="P87" s="174"/>
      <c r="Q87" s="174"/>
      <c r="R87" s="213"/>
      <c r="S87" s="174"/>
      <c r="T87" s="214"/>
      <c r="U87" s="206"/>
      <c r="V87" s="207"/>
      <c r="W87" s="215"/>
      <c r="X87" s="216"/>
      <c r="Y87" s="216"/>
      <c r="Z87" s="216"/>
      <c r="AA87" s="216"/>
      <c r="AB87" s="216"/>
      <c r="AC87" s="216"/>
      <c r="AD87" s="216"/>
      <c r="AE87" s="216"/>
      <c r="AF87" s="216"/>
      <c r="AG87" s="216"/>
      <c r="AH87" s="216"/>
      <c r="AI87" s="216"/>
      <c r="AJ87" s="217"/>
      <c r="AK87" s="146"/>
      <c r="AL87" s="146"/>
      <c r="AM87" s="146"/>
      <c r="AN87" s="146"/>
      <c r="AO87" s="146"/>
    </row>
    <row r="88" spans="8:8" ht="15.75" hidden="1" customHeight="1">
      <c r="A88" s="12"/>
      <c r="B88" s="196" t="s">
        <v>446</v>
      </c>
      <c r="C88" s="211" t="s">
        <v>406</v>
      </c>
      <c r="D88" s="21"/>
      <c r="E88" s="8"/>
      <c r="F88" s="143"/>
      <c r="G88" s="153"/>
      <c r="H88" s="153"/>
      <c r="I88" s="153"/>
      <c r="J88" s="212"/>
      <c r="K88" s="174"/>
      <c r="L88" s="174"/>
      <c r="M88" s="174"/>
      <c r="N88" s="213"/>
      <c r="O88" s="174"/>
      <c r="P88" s="174"/>
      <c r="Q88" s="174"/>
      <c r="R88" s="213"/>
      <c r="S88" s="174"/>
      <c r="T88" s="214"/>
      <c r="U88" s="206"/>
      <c r="V88" s="207"/>
      <c r="W88" s="215"/>
      <c r="X88" s="216"/>
      <c r="Y88" s="216"/>
      <c r="Z88" s="216"/>
      <c r="AA88" s="216"/>
      <c r="AB88" s="216"/>
      <c r="AC88" s="216"/>
      <c r="AD88" s="216"/>
      <c r="AE88" s="216"/>
      <c r="AF88" s="216"/>
      <c r="AG88" s="216"/>
      <c r="AH88" s="216"/>
      <c r="AI88" s="216"/>
      <c r="AJ88" s="217"/>
      <c r="AK88" s="146"/>
      <c r="AL88" s="146"/>
      <c r="AM88" s="146"/>
      <c r="AN88" s="146"/>
      <c r="AO88" s="146"/>
    </row>
    <row r="89" spans="8:8" ht="15.75" hidden="1" customHeight="1">
      <c r="A89" s="124"/>
      <c r="B89" s="196" t="s">
        <v>447</v>
      </c>
      <c r="C89" s="211" t="s">
        <v>408</v>
      </c>
      <c r="D89" s="21"/>
      <c r="E89" s="8"/>
      <c r="F89" s="143"/>
      <c r="G89" s="153"/>
      <c r="H89" s="153"/>
      <c r="I89" s="153"/>
      <c r="J89" s="218"/>
      <c r="K89" s="10"/>
      <c r="L89" s="10"/>
      <c r="M89" s="10"/>
      <c r="N89" s="219"/>
      <c r="O89" s="124"/>
      <c r="P89" s="124"/>
      <c r="Q89" s="124"/>
      <c r="R89" s="219"/>
      <c r="S89" s="124"/>
      <c r="T89" s="220"/>
      <c r="U89" s="206"/>
      <c r="V89" s="207"/>
      <c r="W89" s="221"/>
      <c r="X89" s="222"/>
      <c r="Y89" s="216"/>
      <c r="Z89" s="216"/>
      <c r="AA89" s="216"/>
      <c r="AB89" s="216"/>
      <c r="AC89" s="216"/>
      <c r="AD89" s="216"/>
      <c r="AE89" s="216"/>
      <c r="AF89" s="216"/>
      <c r="AG89" s="216"/>
      <c r="AH89" s="216"/>
      <c r="AI89" s="216"/>
      <c r="AJ89" s="217"/>
      <c r="AK89" s="223"/>
      <c r="AL89" s="223"/>
      <c r="AM89" s="223"/>
      <c r="AN89" s="223"/>
      <c r="AO89" s="223"/>
    </row>
    <row r="90" spans="8:8" ht="15.75" hidden="1" customHeight="1">
      <c r="A90" s="124"/>
      <c r="B90" s="196" t="s">
        <v>448</v>
      </c>
      <c r="C90" s="211" t="s">
        <v>410</v>
      </c>
      <c r="D90" s="21"/>
      <c r="E90" s="8" t="s">
        <v>18</v>
      </c>
      <c r="F90" s="143"/>
      <c r="G90" s="153"/>
      <c r="H90" s="153"/>
      <c r="I90" s="153"/>
      <c r="J90" s="224"/>
      <c r="K90" s="9"/>
      <c r="L90" s="9"/>
      <c r="M90" s="9"/>
      <c r="N90" s="219"/>
      <c r="O90" s="124"/>
      <c r="P90" s="124"/>
      <c r="Q90" s="124"/>
      <c r="R90" s="219"/>
      <c r="S90" s="124"/>
      <c r="T90" s="220"/>
      <c r="U90" s="206"/>
      <c r="V90" s="207"/>
      <c r="W90" s="221"/>
      <c r="X90" s="222"/>
      <c r="Y90" s="216"/>
      <c r="Z90" s="216"/>
      <c r="AA90" s="216"/>
      <c r="AB90" s="216"/>
      <c r="AC90" s="216"/>
      <c r="AD90" s="216"/>
      <c r="AE90" s="216"/>
      <c r="AF90" s="216"/>
      <c r="AG90" s="216"/>
      <c r="AH90" s="216"/>
      <c r="AI90" s="216"/>
      <c r="AJ90" s="217"/>
      <c r="AK90" s="223"/>
      <c r="AL90" s="223"/>
      <c r="AM90" s="223"/>
      <c r="AN90" s="223"/>
      <c r="AO90" s="223"/>
    </row>
    <row r="91" spans="8:8" ht="15.75" hidden="1" customHeight="1">
      <c r="A91" s="124"/>
      <c r="B91" s="225" t="s">
        <v>449</v>
      </c>
      <c r="C91" s="226" t="s">
        <v>450</v>
      </c>
      <c r="D91" s="21"/>
      <c r="E91" s="8"/>
      <c r="F91" s="143"/>
      <c r="G91" s="153"/>
      <c r="H91" s="153"/>
      <c r="I91" s="153"/>
      <c r="J91" s="143"/>
      <c r="K91" s="9"/>
      <c r="L91" s="9"/>
      <c r="M91" s="9"/>
      <c r="N91" s="219"/>
      <c r="O91" s="124"/>
      <c r="P91" s="124"/>
      <c r="Q91" s="124"/>
      <c r="R91" s="219"/>
      <c r="S91" s="124"/>
      <c r="T91" s="220"/>
      <c r="U91" s="206"/>
      <c r="V91" s="207"/>
      <c r="W91" s="227"/>
      <c r="X91" s="228"/>
      <c r="Y91" s="229"/>
      <c r="Z91" s="229"/>
      <c r="AA91" s="229"/>
      <c r="AB91" s="229"/>
      <c r="AC91" s="229"/>
      <c r="AD91" s="229"/>
      <c r="AE91" s="229"/>
      <c r="AF91" s="229"/>
      <c r="AG91" s="229"/>
      <c r="AH91" s="229"/>
      <c r="AI91" s="229"/>
      <c r="AJ91" s="230"/>
      <c r="AK91" s="223"/>
      <c r="AL91" s="223"/>
      <c r="AM91" s="223"/>
      <c r="AN91" s="223"/>
      <c r="AO91" s="223"/>
    </row>
    <row r="92" spans="8:8" ht="15.75" customHeight="1">
      <c r="A92" s="124"/>
      <c r="B92" s="124"/>
      <c r="C92" s="231"/>
      <c r="D92" s="8"/>
      <c r="E92" s="8"/>
      <c r="F92" s="8"/>
      <c r="G92" s="153"/>
      <c r="H92" s="153"/>
      <c r="I92" s="153"/>
      <c r="J92" s="8"/>
      <c r="K92" s="9"/>
      <c r="L92" s="9"/>
      <c r="M92" s="9"/>
      <c r="N92" s="124"/>
      <c r="O92" s="124"/>
      <c r="P92" s="124"/>
      <c r="Q92" s="124"/>
      <c r="R92" s="124"/>
      <c r="S92" s="124"/>
      <c r="T92" s="124"/>
      <c r="U92" s="8"/>
      <c r="V92" s="8"/>
      <c r="W92" s="124"/>
      <c r="X92" s="124"/>
      <c r="Y92" s="174"/>
      <c r="Z92" s="174"/>
      <c r="AA92" s="174"/>
      <c r="AB92" s="174"/>
      <c r="AC92" s="174"/>
      <c r="AD92" s="174"/>
      <c r="AE92" s="174"/>
      <c r="AF92" s="174"/>
      <c r="AG92" s="174"/>
      <c r="AH92" s="174"/>
      <c r="AI92" s="174"/>
      <c r="AJ92" s="12"/>
      <c r="AK92" s="223"/>
      <c r="AL92" s="223"/>
      <c r="AM92" s="223"/>
      <c r="AN92" s="223"/>
      <c r="AO92" s="223"/>
    </row>
    <row r="93" spans="8:8" ht="15.75" customHeight="1">
      <c r="A93" s="124"/>
      <c r="B93" s="124"/>
      <c r="C93" s="231"/>
      <c r="D93" s="8"/>
      <c r="E93" s="8"/>
      <c r="F93" s="8"/>
      <c r="G93" s="153"/>
      <c r="H93" s="153"/>
      <c r="I93" s="153"/>
      <c r="J93" s="8"/>
      <c r="K93" s="9"/>
      <c r="L93" s="9"/>
      <c r="M93" s="9"/>
      <c r="N93" s="124"/>
      <c r="O93" s="124"/>
      <c r="P93" s="124"/>
      <c r="Q93" s="124"/>
      <c r="R93" s="124"/>
      <c r="S93" s="124"/>
      <c r="T93" s="124"/>
      <c r="U93" s="8"/>
      <c r="V93" s="8"/>
      <c r="W93" s="124"/>
      <c r="X93" s="124"/>
      <c r="Y93" s="174"/>
      <c r="Z93" s="174"/>
      <c r="AA93" s="174"/>
      <c r="AB93" s="174"/>
      <c r="AC93" s="174"/>
      <c r="AD93" s="174"/>
      <c r="AE93" s="174"/>
      <c r="AF93" s="174"/>
      <c r="AG93" s="174"/>
      <c r="AH93" s="174"/>
      <c r="AI93" s="174"/>
      <c r="AJ93" s="12"/>
      <c r="AK93" s="223"/>
      <c r="AL93" s="223"/>
      <c r="AM93" s="223"/>
      <c r="AN93" s="223"/>
      <c r="AO93" s="223"/>
    </row>
    <row r="94" spans="8:8" ht="15.75" customHeight="1">
      <c r="A94" s="124"/>
      <c r="B94" s="124"/>
      <c r="C94" s="231"/>
      <c r="D94" s="8"/>
      <c r="E94" s="8"/>
      <c r="F94" s="8"/>
      <c r="G94" s="153"/>
      <c r="H94" s="153"/>
      <c r="I94" s="153"/>
      <c r="J94" s="8"/>
      <c r="K94" s="9"/>
      <c r="L94" s="9"/>
      <c r="M94" s="9"/>
      <c r="N94" s="124"/>
      <c r="O94" s="124"/>
      <c r="P94" s="124"/>
      <c r="Q94" s="124"/>
      <c r="R94" s="124"/>
      <c r="S94" s="124"/>
      <c r="T94" s="124"/>
      <c r="U94" s="152" t="s">
        <v>352</v>
      </c>
      <c r="V94" s="152" t="s">
        <v>352</v>
      </c>
      <c r="W94" s="152" t="s">
        <v>352</v>
      </c>
      <c r="X94" s="152" t="s">
        <v>352</v>
      </c>
      <c r="Y94" s="152" t="s">
        <v>352</v>
      </c>
      <c r="Z94" s="152" t="s">
        <v>352</v>
      </c>
      <c r="AA94" s="152" t="s">
        <v>352</v>
      </c>
      <c r="AB94" s="152" t="s">
        <v>352</v>
      </c>
      <c r="AC94" s="174"/>
      <c r="AD94" s="174"/>
      <c r="AE94" s="174"/>
      <c r="AF94" s="174"/>
      <c r="AG94" s="174"/>
      <c r="AH94" s="174"/>
      <c r="AI94" s="174"/>
      <c r="AJ94" s="12"/>
      <c r="AK94" s="223"/>
      <c r="AL94" s="223"/>
      <c r="AM94" s="223"/>
      <c r="AN94" s="223"/>
      <c r="AO94" s="223"/>
    </row>
    <row r="95" spans="8:8" ht="39.0" customHeight="1">
      <c r="A95" s="12"/>
      <c r="B95" s="232" t="s">
        <v>1237</v>
      </c>
      <c r="C95" s="36" t="s">
        <v>413</v>
      </c>
      <c r="D95" s="155" t="s">
        <v>321</v>
      </c>
      <c r="E95" s="156" t="s">
        <v>322</v>
      </c>
      <c r="F95" s="54" t="s">
        <v>1238</v>
      </c>
      <c r="G95" s="156" t="s">
        <v>322</v>
      </c>
      <c r="H95" s="54" t="s">
        <v>1239</v>
      </c>
      <c r="I95" s="156" t="s">
        <v>322</v>
      </c>
      <c r="J95" s="54" t="s">
        <v>1240</v>
      </c>
      <c r="K95" s="156" t="s">
        <v>322</v>
      </c>
      <c r="L95" s="54" t="s">
        <v>1241</v>
      </c>
      <c r="M95" s="156" t="s">
        <v>322</v>
      </c>
      <c r="N95" s="54" t="s">
        <v>1242</v>
      </c>
      <c r="O95" s="156" t="s">
        <v>322</v>
      </c>
      <c r="P95" s="54" t="s">
        <v>1243</v>
      </c>
      <c r="Q95" s="156" t="s">
        <v>322</v>
      </c>
      <c r="R95" s="54" t="s">
        <v>1244</v>
      </c>
      <c r="S95" s="156" t="s">
        <v>322</v>
      </c>
      <c r="T95" s="178" t="s">
        <v>1245</v>
      </c>
      <c r="U95" s="233" t="s">
        <v>1215</v>
      </c>
      <c r="V95" s="234" t="s">
        <v>1216</v>
      </c>
      <c r="W95" s="234" t="s">
        <v>1217</v>
      </c>
      <c r="X95" s="234" t="s">
        <v>1218</v>
      </c>
      <c r="Y95" s="235" t="s">
        <v>387</v>
      </c>
      <c r="Z95" s="234" t="s">
        <v>1220</v>
      </c>
      <c r="AA95" s="236" t="s">
        <v>1221</v>
      </c>
      <c r="AB95" s="237" t="s">
        <v>388</v>
      </c>
      <c r="AC95" s="238" t="s">
        <v>1223</v>
      </c>
      <c r="AD95" s="239" t="s">
        <v>1225</v>
      </c>
      <c r="AE95" s="239" t="s">
        <v>355</v>
      </c>
      <c r="AF95" s="239" t="s">
        <v>1228</v>
      </c>
      <c r="AG95" s="240" t="s">
        <v>356</v>
      </c>
      <c r="AH95" s="241"/>
      <c r="AI95" s="241"/>
      <c r="AJ95" s="242"/>
      <c r="AK95" s="4"/>
      <c r="AL95" s="3"/>
      <c r="AM95" s="146"/>
      <c r="AN95" s="146"/>
      <c r="AO95" s="146"/>
    </row>
    <row r="96" spans="8:8" ht="24.75" customHeight="1">
      <c r="A96" s="12"/>
      <c r="B96" s="12" t="s">
        <v>451</v>
      </c>
      <c r="C96" s="243" t="s">
        <v>452</v>
      </c>
      <c r="D96" s="64">
        <v>100.0</v>
      </c>
      <c r="E96" s="63">
        <f>4-1</f>
        <v>3.0</v>
      </c>
      <c r="F96" s="54">
        <f t="shared" si="57" ref="F96:F99">E96*D96</f>
        <v>300.0</v>
      </c>
      <c r="G96" s="63">
        <f>4</f>
        <v>4.0</v>
      </c>
      <c r="H96" s="54">
        <f t="shared" si="58" ref="H96:H99">G96*D96</f>
        <v>400.0</v>
      </c>
      <c r="I96" s="63">
        <f t="shared" si="59" ref="I96:I99">4</f>
        <v>4.0</v>
      </c>
      <c r="J96" s="54">
        <f t="shared" si="60" ref="J96:J99">I96*D96</f>
        <v>400.0</v>
      </c>
      <c r="K96" s="63">
        <f t="shared" si="61" ref="K96:K99">4</f>
        <v>4.0</v>
      </c>
      <c r="L96" s="54">
        <f t="shared" si="62" ref="L96:L99">K96*D96</f>
        <v>400.0</v>
      </c>
      <c r="M96" s="63">
        <f t="shared" si="63" ref="M96:M99">4</f>
        <v>4.0</v>
      </c>
      <c r="N96" s="54">
        <f t="shared" si="64" ref="N96:N99">M96*D96</f>
        <v>400.0</v>
      </c>
      <c r="O96" s="63">
        <f t="shared" si="65" ref="O96:O99">4</f>
        <v>4.0</v>
      </c>
      <c r="P96" s="54">
        <f t="shared" si="66" ref="P96:P99">O96*D96</f>
        <v>400.0</v>
      </c>
      <c r="Q96" s="63">
        <f t="shared" si="67" ref="Q96:Q99">4</f>
        <v>4.0</v>
      </c>
      <c r="R96" s="54">
        <f t="shared" si="68" ref="R96:R99">Q96*D96</f>
        <v>400.0</v>
      </c>
      <c r="S96" s="63">
        <f>4-1</f>
        <v>3.0</v>
      </c>
      <c r="T96" s="178">
        <f t="shared" si="69" ref="T96:T99">S96*D96</f>
        <v>300.0</v>
      </c>
      <c r="U96" s="61">
        <f t="shared" si="70" ref="U96:Y96">2</f>
        <v>2.0</v>
      </c>
      <c r="V96" s="63">
        <f t="shared" si="70"/>
        <v>2.0</v>
      </c>
      <c r="W96" s="63">
        <f t="shared" si="70"/>
        <v>2.0</v>
      </c>
      <c r="X96" s="63">
        <f t="shared" si="70"/>
        <v>2.0</v>
      </c>
      <c r="Y96" s="63">
        <f t="shared" si="70"/>
        <v>2.0</v>
      </c>
      <c r="Z96" s="63">
        <f>2-1</f>
        <v>1.0</v>
      </c>
      <c r="AA96" s="63">
        <f t="shared" si="71" ref="AA96:AB96">2</f>
        <v>2.0</v>
      </c>
      <c r="AB96" s="106">
        <f t="shared" si="71"/>
        <v>2.0</v>
      </c>
      <c r="AC96" s="61">
        <f t="shared" si="72" ref="AC96:AD96">3</f>
        <v>3.0</v>
      </c>
      <c r="AD96" s="63">
        <f t="shared" si="72"/>
        <v>3.0</v>
      </c>
      <c r="AE96" s="63">
        <f>3-1</f>
        <v>2.0</v>
      </c>
      <c r="AF96" s="63">
        <f t="shared" si="73" ref="AF96:AG96">3</f>
        <v>3.0</v>
      </c>
      <c r="AG96" s="65">
        <f t="shared" si="73"/>
        <v>3.0</v>
      </c>
      <c r="AH96" s="103"/>
      <c r="AI96" s="103"/>
      <c r="AJ96" s="244"/>
      <c r="AK96" s="4"/>
      <c r="AL96" s="3"/>
      <c r="AM96" s="146"/>
      <c r="AN96" s="146"/>
      <c r="AO96" s="146"/>
    </row>
    <row r="97" spans="8:8" ht="24.75" customHeight="1">
      <c r="A97" s="12"/>
      <c r="B97" s="12" t="s">
        <v>453</v>
      </c>
      <c r="C97" s="243" t="s">
        <v>454</v>
      </c>
      <c r="D97" s="64">
        <v>100.0</v>
      </c>
      <c r="E97" s="53">
        <f>4-1-3</f>
        <v>0.0</v>
      </c>
      <c r="F97" s="53">
        <f t="shared" si="57"/>
        <v>0.0</v>
      </c>
      <c r="G97" s="63">
        <f>4-1</f>
        <v>3.0</v>
      </c>
      <c r="H97" s="54">
        <f t="shared" si="58"/>
        <v>300.0</v>
      </c>
      <c r="I97" s="63">
        <f t="shared" si="59"/>
        <v>4.0</v>
      </c>
      <c r="J97" s="54">
        <f t="shared" si="60"/>
        <v>400.0</v>
      </c>
      <c r="K97" s="63">
        <f t="shared" si="61"/>
        <v>4.0</v>
      </c>
      <c r="L97" s="54">
        <f t="shared" si="62"/>
        <v>400.0</v>
      </c>
      <c r="M97" s="63">
        <f t="shared" si="63"/>
        <v>4.0</v>
      </c>
      <c r="N97" s="54">
        <f t="shared" si="64"/>
        <v>400.0</v>
      </c>
      <c r="O97" s="63">
        <f t="shared" si="65"/>
        <v>4.0</v>
      </c>
      <c r="P97" s="54">
        <f t="shared" si="66"/>
        <v>400.0</v>
      </c>
      <c r="Q97" s="63">
        <f t="shared" si="67"/>
        <v>4.0</v>
      </c>
      <c r="R97" s="54">
        <f t="shared" si="68"/>
        <v>400.0</v>
      </c>
      <c r="S97" s="63">
        <f t="shared" si="74" ref="S97:S98">4</f>
        <v>4.0</v>
      </c>
      <c r="T97" s="178">
        <f t="shared" si="69"/>
        <v>400.0</v>
      </c>
      <c r="U97" s="61">
        <f t="shared" si="75" ref="U97:W97">2</f>
        <v>2.0</v>
      </c>
      <c r="V97" s="63">
        <f t="shared" si="75"/>
        <v>2.0</v>
      </c>
      <c r="W97" s="63">
        <f t="shared" si="75"/>
        <v>2.0</v>
      </c>
      <c r="X97" s="63">
        <f>2-1</f>
        <v>1.0</v>
      </c>
      <c r="Y97" s="63">
        <f t="shared" si="76" ref="Y97:AB97">2</f>
        <v>2.0</v>
      </c>
      <c r="Z97" s="63">
        <f t="shared" si="76"/>
        <v>2.0</v>
      </c>
      <c r="AA97" s="63">
        <f t="shared" si="76"/>
        <v>2.0</v>
      </c>
      <c r="AB97" s="106">
        <f t="shared" si="76"/>
        <v>2.0</v>
      </c>
      <c r="AC97" s="61">
        <f t="shared" si="77" ref="AC97:AC99">3</f>
        <v>3.0</v>
      </c>
      <c r="AD97" s="63">
        <f>3-1</f>
        <v>2.0</v>
      </c>
      <c r="AE97" s="63">
        <f t="shared" si="78" ref="AE97:AF97">3</f>
        <v>3.0</v>
      </c>
      <c r="AF97" s="63">
        <f t="shared" si="78"/>
        <v>3.0</v>
      </c>
      <c r="AG97" s="65">
        <f>3-1</f>
        <v>2.0</v>
      </c>
      <c r="AH97" s="103"/>
      <c r="AI97" s="103"/>
      <c r="AJ97" s="244"/>
      <c r="AK97" s="4"/>
      <c r="AL97" s="3"/>
      <c r="AM97" s="146"/>
      <c r="AN97" s="146"/>
      <c r="AO97" s="146"/>
    </row>
    <row r="98" spans="8:8" ht="24.75" customHeight="1">
      <c r="A98" s="12"/>
      <c r="B98" s="12" t="s">
        <v>455</v>
      </c>
      <c r="C98" s="243" t="s">
        <v>456</v>
      </c>
      <c r="D98" s="64">
        <v>100.0</v>
      </c>
      <c r="E98" s="63">
        <f t="shared" si="79" ref="E98:E99">4-1</f>
        <v>3.0</v>
      </c>
      <c r="F98" s="54">
        <f t="shared" si="57"/>
        <v>300.0</v>
      </c>
      <c r="G98" s="63">
        <f>4</f>
        <v>4.0</v>
      </c>
      <c r="H98" s="54">
        <f t="shared" si="58"/>
        <v>400.0</v>
      </c>
      <c r="I98" s="63">
        <f t="shared" si="59"/>
        <v>4.0</v>
      </c>
      <c r="J98" s="54">
        <f t="shared" si="60"/>
        <v>400.0</v>
      </c>
      <c r="K98" s="63">
        <f t="shared" si="61"/>
        <v>4.0</v>
      </c>
      <c r="L98" s="54">
        <f t="shared" si="62"/>
        <v>400.0</v>
      </c>
      <c r="M98" s="63">
        <f t="shared" si="63"/>
        <v>4.0</v>
      </c>
      <c r="N98" s="54">
        <f t="shared" si="64"/>
        <v>400.0</v>
      </c>
      <c r="O98" s="63">
        <f t="shared" si="65"/>
        <v>4.0</v>
      </c>
      <c r="P98" s="54">
        <f t="shared" si="66"/>
        <v>400.0</v>
      </c>
      <c r="Q98" s="63">
        <f t="shared" si="67"/>
        <v>4.0</v>
      </c>
      <c r="R98" s="54">
        <f t="shared" si="68"/>
        <v>400.0</v>
      </c>
      <c r="S98" s="63">
        <f t="shared" si="74"/>
        <v>4.0</v>
      </c>
      <c r="T98" s="178">
        <f t="shared" si="69"/>
        <v>400.0</v>
      </c>
      <c r="U98" s="61">
        <f t="shared" si="80" ref="U98:AB98">2</f>
        <v>2.0</v>
      </c>
      <c r="V98" s="63">
        <f t="shared" si="80"/>
        <v>2.0</v>
      </c>
      <c r="W98" s="63">
        <f t="shared" si="80"/>
        <v>2.0</v>
      </c>
      <c r="X98" s="63">
        <f t="shared" si="80"/>
        <v>2.0</v>
      </c>
      <c r="Y98" s="63">
        <f t="shared" si="80"/>
        <v>2.0</v>
      </c>
      <c r="Z98" s="63">
        <f t="shared" si="80"/>
        <v>2.0</v>
      </c>
      <c r="AA98" s="63">
        <f t="shared" si="80"/>
        <v>2.0</v>
      </c>
      <c r="AB98" s="106">
        <f t="shared" si="80"/>
        <v>2.0</v>
      </c>
      <c r="AC98" s="61">
        <f t="shared" si="77"/>
        <v>3.0</v>
      </c>
      <c r="AD98" s="63">
        <f t="shared" si="81" ref="AD98:AG98">3</f>
        <v>3.0</v>
      </c>
      <c r="AE98" s="63">
        <f t="shared" si="81"/>
        <v>3.0</v>
      </c>
      <c r="AF98" s="63">
        <f t="shared" si="81"/>
        <v>3.0</v>
      </c>
      <c r="AG98" s="65">
        <f t="shared" si="81"/>
        <v>3.0</v>
      </c>
      <c r="AH98" s="103"/>
      <c r="AI98" s="103"/>
      <c r="AJ98" s="244"/>
      <c r="AK98" s="4"/>
      <c r="AL98" s="3"/>
      <c r="AM98" s="146"/>
      <c r="AN98" s="146"/>
      <c r="AO98" s="146"/>
    </row>
    <row r="99" spans="8:8" ht="24.75" customHeight="1">
      <c r="A99" s="12"/>
      <c r="B99" s="12" t="s">
        <v>457</v>
      </c>
      <c r="C99" s="243" t="s">
        <v>458</v>
      </c>
      <c r="D99" s="64">
        <v>100.0</v>
      </c>
      <c r="E99" s="63">
        <f t="shared" si="79"/>
        <v>3.0</v>
      </c>
      <c r="F99" s="54">
        <f t="shared" si="57"/>
        <v>300.0</v>
      </c>
      <c r="G99" s="63">
        <f>4-1</f>
        <v>3.0</v>
      </c>
      <c r="H99" s="54">
        <f t="shared" si="58"/>
        <v>300.0</v>
      </c>
      <c r="I99" s="63">
        <f t="shared" si="59"/>
        <v>4.0</v>
      </c>
      <c r="J99" s="54">
        <f t="shared" si="60"/>
        <v>400.0</v>
      </c>
      <c r="K99" s="63">
        <f t="shared" si="61"/>
        <v>4.0</v>
      </c>
      <c r="L99" s="54">
        <f t="shared" si="62"/>
        <v>400.0</v>
      </c>
      <c r="M99" s="63">
        <f t="shared" si="63"/>
        <v>4.0</v>
      </c>
      <c r="N99" s="54">
        <f t="shared" si="64"/>
        <v>400.0</v>
      </c>
      <c r="O99" s="63">
        <f t="shared" si="65"/>
        <v>4.0</v>
      </c>
      <c r="P99" s="54">
        <f t="shared" si="66"/>
        <v>400.0</v>
      </c>
      <c r="Q99" s="63">
        <f t="shared" si="67"/>
        <v>4.0</v>
      </c>
      <c r="R99" s="54">
        <f t="shared" si="68"/>
        <v>400.0</v>
      </c>
      <c r="S99" s="63">
        <f>4-1</f>
        <v>3.0</v>
      </c>
      <c r="T99" s="178">
        <f t="shared" si="69"/>
        <v>300.0</v>
      </c>
      <c r="U99" s="169">
        <f>2-1</f>
        <v>1.0</v>
      </c>
      <c r="V99" s="84">
        <f>2</f>
        <v>2.0</v>
      </c>
      <c r="W99" s="84">
        <f>2-1</f>
        <v>1.0</v>
      </c>
      <c r="X99" s="84">
        <f t="shared" si="82" ref="X99:AA99">2</f>
        <v>2.0</v>
      </c>
      <c r="Y99" s="84">
        <f t="shared" si="82"/>
        <v>2.0</v>
      </c>
      <c r="Z99" s="84">
        <f t="shared" si="82"/>
        <v>2.0</v>
      </c>
      <c r="AA99" s="84">
        <f t="shared" si="82"/>
        <v>2.0</v>
      </c>
      <c r="AB99" s="136">
        <f>2-1</f>
        <v>1.0</v>
      </c>
      <c r="AC99" s="169">
        <f t="shared" si="77"/>
        <v>3.0</v>
      </c>
      <c r="AD99" s="84">
        <f t="shared" si="83" ref="AD99:AG99">3</f>
        <v>3.0</v>
      </c>
      <c r="AE99" s="84">
        <f t="shared" si="83"/>
        <v>3.0</v>
      </c>
      <c r="AF99" s="84">
        <f t="shared" si="83"/>
        <v>3.0</v>
      </c>
      <c r="AG99" s="85">
        <f t="shared" si="83"/>
        <v>3.0</v>
      </c>
      <c r="AH99" s="135"/>
      <c r="AI99" s="135"/>
      <c r="AJ99" s="245"/>
      <c r="AK99" s="4"/>
      <c r="AL99" s="3"/>
      <c r="AM99" s="146"/>
      <c r="AN99" s="146"/>
      <c r="AO99" s="146"/>
    </row>
    <row r="100" spans="8:8" ht="16.5" customHeight="1">
      <c r="A100" s="223"/>
      <c r="B100" s="223"/>
      <c r="C100" s="246"/>
      <c r="D100" s="247"/>
      <c r="E100" s="248"/>
      <c r="F100" s="248"/>
      <c r="G100" s="153"/>
      <c r="H100" s="153"/>
      <c r="I100" s="15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174"/>
      <c r="Z100" s="174"/>
      <c r="AA100" s="174"/>
      <c r="AB100" s="174"/>
      <c r="AC100" s="174"/>
      <c r="AD100" s="174"/>
      <c r="AE100" s="174"/>
      <c r="AF100" s="174"/>
      <c r="AG100" s="174"/>
      <c r="AH100" s="174"/>
      <c r="AI100" s="174"/>
      <c r="AJ100" s="12"/>
      <c r="AK100" s="223"/>
      <c r="AL100" s="223"/>
      <c r="AM100" s="223"/>
      <c r="AN100" s="223"/>
      <c r="AO100" s="223"/>
    </row>
    <row r="101" spans="8:8" ht="16.5" customHeight="1">
      <c r="A101" s="223"/>
      <c r="B101" s="223"/>
      <c r="C101" s="249"/>
      <c r="D101" s="247"/>
      <c r="E101" s="248"/>
      <c r="F101" s="248"/>
      <c r="G101" s="153"/>
      <c r="H101" s="153"/>
      <c r="I101" s="15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174"/>
      <c r="Z101" s="174"/>
      <c r="AA101" s="174"/>
      <c r="AB101" s="174"/>
      <c r="AC101" s="174"/>
      <c r="AD101" s="174"/>
      <c r="AE101" s="174"/>
      <c r="AF101" s="174"/>
      <c r="AG101" s="174"/>
      <c r="AH101" s="174"/>
      <c r="AI101" s="174"/>
      <c r="AJ101" s="12"/>
      <c r="AK101" s="223"/>
      <c r="AL101" s="223"/>
      <c r="AM101" s="223"/>
      <c r="AN101" s="223"/>
      <c r="AO101" s="223"/>
    </row>
    <row r="102" spans="8:8" ht="16.5" customHeight="1">
      <c r="A102" s="223"/>
      <c r="B102" s="223"/>
      <c r="C102" s="249"/>
      <c r="D102" s="247"/>
      <c r="E102" s="248"/>
      <c r="F102" s="248"/>
      <c r="G102" s="153"/>
      <c r="H102" s="153"/>
      <c r="I102" s="15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174"/>
      <c r="Z102" s="174"/>
      <c r="AA102" s="174"/>
      <c r="AB102" s="174"/>
      <c r="AC102" s="174"/>
      <c r="AD102" s="174"/>
      <c r="AE102" s="174"/>
      <c r="AF102" s="174"/>
      <c r="AG102" s="174"/>
      <c r="AH102" s="174"/>
      <c r="AI102" s="174"/>
      <c r="AJ102" s="12"/>
      <c r="AK102" s="223"/>
      <c r="AL102" s="223"/>
      <c r="AM102" s="223"/>
      <c r="AN102" s="223"/>
      <c r="AO102" s="223"/>
    </row>
    <row r="103" spans="8:8" ht="16.5" customHeight="1">
      <c r="A103" s="223"/>
      <c r="B103" s="223"/>
      <c r="C103" s="249"/>
      <c r="D103" s="247"/>
      <c r="E103" s="248"/>
      <c r="F103" s="248"/>
      <c r="G103" s="153"/>
      <c r="H103" s="153"/>
      <c r="I103" s="15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174"/>
      <c r="Z103" s="174"/>
      <c r="AA103" s="174"/>
      <c r="AB103" s="174"/>
      <c r="AC103" s="174"/>
      <c r="AD103" s="174"/>
      <c r="AE103" s="174"/>
      <c r="AF103" s="174"/>
      <c r="AG103" s="174"/>
      <c r="AH103" s="174"/>
      <c r="AI103" s="174"/>
      <c r="AJ103" s="12"/>
      <c r="AK103" s="223"/>
      <c r="AL103" s="223"/>
      <c r="AM103" s="223"/>
      <c r="AN103" s="223"/>
      <c r="AO103" s="223"/>
    </row>
    <row r="104" spans="8:8" ht="16.5" customHeight="1">
      <c r="A104" s="223"/>
      <c r="B104" s="223"/>
      <c r="C104" s="249"/>
      <c r="D104" s="247"/>
      <c r="E104" s="248"/>
      <c r="F104" s="248"/>
      <c r="G104" s="153"/>
      <c r="H104" s="153"/>
      <c r="I104" s="15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174"/>
      <c r="Z104" s="174"/>
      <c r="AA104" s="174"/>
      <c r="AB104" s="174"/>
      <c r="AC104" s="174"/>
      <c r="AD104" s="174"/>
      <c r="AE104" s="174"/>
      <c r="AF104" s="174"/>
      <c r="AG104" s="174"/>
      <c r="AH104" s="174"/>
      <c r="AI104" s="174"/>
      <c r="AJ104" s="12"/>
      <c r="AK104" s="223"/>
      <c r="AL104" s="223"/>
      <c r="AM104" s="223"/>
      <c r="AN104" s="223"/>
      <c r="AO104" s="223"/>
    </row>
    <row r="105" spans="8:8" ht="16.5" customHeight="1">
      <c r="A105" s="223"/>
      <c r="B105" s="223"/>
      <c r="C105" s="249"/>
      <c r="D105" s="247"/>
      <c r="E105" s="248"/>
      <c r="F105" s="248"/>
      <c r="G105" s="153"/>
      <c r="H105" s="153"/>
      <c r="I105" s="15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174"/>
      <c r="Z105" s="174"/>
      <c r="AA105" s="174"/>
      <c r="AB105" s="174"/>
      <c r="AC105" s="174"/>
      <c r="AD105" s="174"/>
      <c r="AE105" s="174"/>
      <c r="AF105" s="174"/>
      <c r="AG105" s="174"/>
      <c r="AH105" s="174"/>
      <c r="AI105" s="174"/>
      <c r="AJ105" s="12"/>
      <c r="AK105" s="223"/>
      <c r="AL105" s="223"/>
      <c r="AM105" s="223"/>
      <c r="AN105" s="223"/>
      <c r="AO105" s="223"/>
    </row>
    <row r="106" spans="8:8" ht="16.5" customHeight="1">
      <c r="A106" s="223"/>
      <c r="B106" s="223"/>
      <c r="C106" s="249"/>
      <c r="D106" s="247"/>
      <c r="E106" s="248"/>
      <c r="F106" s="248"/>
      <c r="G106" s="153"/>
      <c r="H106" s="153"/>
      <c r="I106" s="15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174"/>
      <c r="Z106" s="174"/>
      <c r="AA106" s="174"/>
      <c r="AB106" s="174"/>
      <c r="AC106" s="174"/>
      <c r="AD106" s="174"/>
      <c r="AE106" s="174"/>
      <c r="AF106" s="174"/>
      <c r="AG106" s="174"/>
      <c r="AH106" s="174"/>
      <c r="AI106" s="174"/>
      <c r="AJ106" s="12"/>
      <c r="AK106" s="223"/>
      <c r="AL106" s="223"/>
      <c r="AM106" s="223"/>
      <c r="AN106" s="223"/>
      <c r="AO106" s="223"/>
    </row>
    <row r="107" spans="8:8" ht="16.5" customHeight="1">
      <c r="A107" s="223"/>
      <c r="B107" s="223"/>
      <c r="C107" s="249"/>
      <c r="D107" s="247"/>
      <c r="E107" s="248"/>
      <c r="F107" s="248"/>
      <c r="G107" s="153"/>
      <c r="H107" s="153"/>
      <c r="I107" s="15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174"/>
      <c r="Z107" s="174"/>
      <c r="AA107" s="174"/>
      <c r="AB107" s="174"/>
      <c r="AC107" s="174"/>
      <c r="AD107" s="174"/>
      <c r="AE107" s="174"/>
      <c r="AF107" s="174"/>
      <c r="AG107" s="174"/>
      <c r="AH107" s="174"/>
      <c r="AI107" s="174"/>
      <c r="AJ107" s="12"/>
      <c r="AK107" s="223"/>
      <c r="AL107" s="223"/>
      <c r="AM107" s="223"/>
      <c r="AN107" s="223"/>
      <c r="AO107" s="223"/>
    </row>
    <row r="108" spans="8:8" ht="16.5" customHeight="1">
      <c r="A108" s="223"/>
      <c r="B108" s="223"/>
      <c r="C108" s="249"/>
      <c r="D108" s="247"/>
      <c r="E108" s="248"/>
      <c r="F108" s="248"/>
      <c r="G108" s="153"/>
      <c r="H108" s="153"/>
      <c r="I108" s="15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174"/>
      <c r="Z108" s="174"/>
      <c r="AA108" s="174"/>
      <c r="AB108" s="174"/>
      <c r="AC108" s="174"/>
      <c r="AD108" s="174"/>
      <c r="AE108" s="174"/>
      <c r="AF108" s="174"/>
      <c r="AG108" s="174"/>
      <c r="AH108" s="174"/>
      <c r="AI108" s="174"/>
      <c r="AJ108" s="12"/>
      <c r="AK108" s="223"/>
      <c r="AL108" s="223"/>
      <c r="AM108" s="223"/>
      <c r="AN108" s="223"/>
      <c r="AO108" s="223"/>
    </row>
    <row r="109" spans="8:8" ht="16.5" customHeight="1">
      <c r="A109" s="223"/>
      <c r="B109" s="223"/>
      <c r="C109" s="249"/>
      <c r="D109" s="247"/>
      <c r="E109" s="248"/>
      <c r="F109" s="248"/>
      <c r="G109" s="153"/>
      <c r="H109" s="153"/>
      <c r="I109" s="15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174"/>
      <c r="Z109" s="174"/>
      <c r="AA109" s="174"/>
      <c r="AB109" s="174"/>
      <c r="AC109" s="174"/>
      <c r="AD109" s="174"/>
      <c r="AE109" s="174"/>
      <c r="AF109" s="174"/>
      <c r="AG109" s="174"/>
      <c r="AH109" s="174"/>
      <c r="AI109" s="174"/>
      <c r="AJ109" s="12"/>
      <c r="AK109" s="223"/>
      <c r="AL109" s="223"/>
      <c r="AM109" s="223"/>
      <c r="AN109" s="223"/>
      <c r="AO109" s="223"/>
    </row>
    <row r="110" spans="8:8" ht="16.5" customHeight="1">
      <c r="A110" s="223"/>
      <c r="B110" s="223"/>
      <c r="C110" s="249"/>
      <c r="D110" s="247"/>
      <c r="E110" s="248"/>
      <c r="F110" s="248"/>
      <c r="G110" s="153"/>
      <c r="H110" s="153"/>
      <c r="I110" s="15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174"/>
      <c r="Z110" s="174"/>
      <c r="AA110" s="174"/>
      <c r="AB110" s="174"/>
      <c r="AC110" s="174"/>
      <c r="AD110" s="174"/>
      <c r="AE110" s="174"/>
      <c r="AF110" s="174"/>
      <c r="AG110" s="174"/>
      <c r="AH110" s="174"/>
      <c r="AI110" s="174"/>
      <c r="AJ110" s="12"/>
      <c r="AK110" s="223"/>
      <c r="AL110" s="223"/>
      <c r="AM110" s="223"/>
      <c r="AN110" s="223"/>
      <c r="AO110" s="223"/>
    </row>
    <row r="111" spans="8:8" ht="16.5" customHeight="1">
      <c r="A111" s="223"/>
      <c r="B111" s="223"/>
      <c r="C111" s="249"/>
      <c r="D111" s="247"/>
      <c r="E111" s="248"/>
      <c r="F111" s="248"/>
      <c r="G111" s="153"/>
      <c r="H111" s="153"/>
      <c r="I111" s="15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174"/>
      <c r="Z111" s="174"/>
      <c r="AA111" s="174"/>
      <c r="AB111" s="174"/>
      <c r="AC111" s="174"/>
      <c r="AD111" s="174"/>
      <c r="AE111" s="174"/>
      <c r="AF111" s="174"/>
      <c r="AG111" s="174"/>
      <c r="AH111" s="174"/>
      <c r="AI111" s="174"/>
      <c r="AJ111" s="12"/>
      <c r="AK111" s="223"/>
      <c r="AL111" s="223"/>
      <c r="AM111" s="223"/>
      <c r="AN111" s="223"/>
      <c r="AO111" s="223"/>
    </row>
    <row r="112" spans="8:8" ht="16.5" customHeight="1">
      <c r="A112" s="223"/>
      <c r="B112" s="223"/>
      <c r="C112" s="249"/>
      <c r="D112" s="247"/>
      <c r="E112" s="248"/>
      <c r="F112" s="248"/>
      <c r="G112" s="153"/>
      <c r="H112" s="153"/>
      <c r="I112" s="15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174"/>
      <c r="Z112" s="174"/>
      <c r="AA112" s="174"/>
      <c r="AB112" s="174"/>
      <c r="AC112" s="174"/>
      <c r="AD112" s="174"/>
      <c r="AE112" s="174"/>
      <c r="AF112" s="174"/>
      <c r="AG112" s="174"/>
      <c r="AH112" s="174"/>
      <c r="AI112" s="174"/>
      <c r="AJ112" s="12"/>
      <c r="AK112" s="223"/>
      <c r="AL112" s="223"/>
      <c r="AM112" s="223"/>
      <c r="AN112" s="223"/>
      <c r="AO112" s="223"/>
    </row>
    <row r="113" spans="8:8" ht="16.5" customHeight="1">
      <c r="A113" s="223"/>
      <c r="B113" s="223"/>
      <c r="C113" s="249"/>
      <c r="D113" s="247"/>
      <c r="E113" s="248"/>
      <c r="F113" s="248"/>
      <c r="G113" s="153"/>
      <c r="H113" s="153"/>
      <c r="I113" s="15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174"/>
      <c r="Z113" s="174"/>
      <c r="AA113" s="174"/>
      <c r="AB113" s="174"/>
      <c r="AC113" s="174"/>
      <c r="AD113" s="174"/>
      <c r="AE113" s="174"/>
      <c r="AF113" s="174"/>
      <c r="AG113" s="174"/>
      <c r="AH113" s="174"/>
      <c r="AI113" s="174"/>
      <c r="AJ113" s="12"/>
      <c r="AK113" s="223"/>
      <c r="AL113" s="223"/>
      <c r="AM113" s="223"/>
      <c r="AN113" s="223"/>
      <c r="AO113" s="223"/>
    </row>
    <row r="114" spans="8:8" ht="16.5" customHeight="1">
      <c r="A114" s="223"/>
      <c r="B114" s="223"/>
      <c r="C114" s="249"/>
      <c r="D114" s="247"/>
      <c r="E114" s="248"/>
      <c r="F114" s="248"/>
      <c r="G114" s="153"/>
      <c r="H114" s="153"/>
      <c r="I114" s="15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174"/>
      <c r="Z114" s="174"/>
      <c r="AA114" s="174"/>
      <c r="AB114" s="174"/>
      <c r="AC114" s="174"/>
      <c r="AD114" s="174"/>
      <c r="AE114" s="174"/>
      <c r="AF114" s="174"/>
      <c r="AG114" s="174"/>
      <c r="AH114" s="174"/>
      <c r="AI114" s="174"/>
      <c r="AJ114" s="12"/>
      <c r="AK114" s="223"/>
      <c r="AL114" s="223"/>
      <c r="AM114" s="223"/>
      <c r="AN114" s="223"/>
      <c r="AO114" s="223"/>
    </row>
    <row r="115" spans="8:8" ht="16.5" customHeight="1">
      <c r="A115" s="223"/>
      <c r="B115" s="223"/>
      <c r="C115" s="249"/>
      <c r="D115" s="247"/>
      <c r="E115" s="248"/>
      <c r="F115" s="248"/>
      <c r="G115" s="153"/>
      <c r="H115" s="153"/>
      <c r="I115" s="15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174"/>
      <c r="Z115" s="174"/>
      <c r="AA115" s="174"/>
      <c r="AB115" s="174"/>
      <c r="AC115" s="174"/>
      <c r="AD115" s="174"/>
      <c r="AE115" s="174"/>
      <c r="AF115" s="174"/>
      <c r="AG115" s="174"/>
      <c r="AH115" s="174"/>
      <c r="AI115" s="174"/>
      <c r="AJ115" s="12"/>
      <c r="AK115" s="223"/>
      <c r="AL115" s="223"/>
      <c r="AM115" s="223"/>
      <c r="AN115" s="223"/>
      <c r="AO115" s="223"/>
    </row>
    <row r="116" spans="8:8" ht="16.5" customHeight="1">
      <c r="A116" s="223"/>
      <c r="B116" s="223"/>
      <c r="C116" s="249"/>
      <c r="D116" s="247"/>
      <c r="E116" s="248"/>
      <c r="F116" s="248"/>
      <c r="G116" s="153"/>
      <c r="H116" s="153"/>
      <c r="I116" s="15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174"/>
      <c r="Z116" s="174"/>
      <c r="AA116" s="174"/>
      <c r="AB116" s="174"/>
      <c r="AC116" s="174"/>
      <c r="AD116" s="174"/>
      <c r="AE116" s="174"/>
      <c r="AF116" s="174"/>
      <c r="AG116" s="174"/>
      <c r="AH116" s="174"/>
      <c r="AI116" s="174"/>
      <c r="AJ116" s="12"/>
      <c r="AK116" s="223"/>
      <c r="AL116" s="223"/>
      <c r="AM116" s="223"/>
      <c r="AN116" s="223"/>
      <c r="AO116" s="223"/>
    </row>
    <row r="117" spans="8:8" ht="15.75" customHeight="1">
      <c r="A117" s="223"/>
      <c r="B117" s="223"/>
      <c r="C117" s="249"/>
      <c r="D117" s="247"/>
      <c r="E117" s="248"/>
      <c r="F117" s="248"/>
      <c r="G117" s="153"/>
      <c r="H117" s="153"/>
      <c r="I117" s="15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174"/>
      <c r="Z117" s="174"/>
      <c r="AA117" s="174"/>
      <c r="AB117" s="174"/>
      <c r="AC117" s="174"/>
      <c r="AD117" s="174"/>
      <c r="AE117" s="174"/>
      <c r="AF117" s="174"/>
      <c r="AG117" s="174"/>
      <c r="AH117" s="174"/>
      <c r="AI117" s="174"/>
      <c r="AJ117" s="12"/>
      <c r="AK117" s="223"/>
      <c r="AL117" s="223"/>
      <c r="AM117" s="223"/>
      <c r="AN117" s="223"/>
      <c r="AO117" s="223"/>
    </row>
    <row r="118" spans="8:8" ht="15.75" customHeight="1">
      <c r="A118" s="223"/>
      <c r="B118" s="223"/>
      <c r="C118" s="249"/>
      <c r="D118" s="247"/>
      <c r="E118" s="248"/>
      <c r="F118" s="248"/>
      <c r="G118" s="153"/>
      <c r="H118" s="153"/>
      <c r="I118" s="15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174"/>
      <c r="Z118" s="174"/>
      <c r="AA118" s="174"/>
      <c r="AB118" s="174"/>
      <c r="AC118" s="174"/>
      <c r="AD118" s="174"/>
      <c r="AE118" s="174"/>
      <c r="AF118" s="174"/>
      <c r="AG118" s="174"/>
      <c r="AH118" s="174"/>
      <c r="AI118" s="174"/>
      <c r="AJ118" s="12"/>
      <c r="AK118" s="223"/>
      <c r="AL118" s="223"/>
      <c r="AM118" s="223"/>
      <c r="AN118" s="223"/>
      <c r="AO118" s="223"/>
    </row>
    <row r="119" spans="8:8" ht="15.75" customHeight="1">
      <c r="A119" s="223"/>
      <c r="B119" s="223"/>
      <c r="C119" s="249"/>
      <c r="D119" s="247"/>
      <c r="E119" s="248"/>
      <c r="F119" s="248"/>
      <c r="G119" s="153"/>
      <c r="H119" s="153"/>
      <c r="I119" s="15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174"/>
      <c r="Z119" s="174"/>
      <c r="AA119" s="174"/>
      <c r="AB119" s="174"/>
      <c r="AC119" s="174"/>
      <c r="AD119" s="174"/>
      <c r="AE119" s="174"/>
      <c r="AF119" s="174"/>
      <c r="AG119" s="174"/>
      <c r="AH119" s="174"/>
      <c r="AI119" s="174"/>
      <c r="AJ119" s="12"/>
      <c r="AK119" s="223"/>
      <c r="AL119" s="223"/>
      <c r="AM119" s="223"/>
      <c r="AN119" s="223"/>
      <c r="AO119" s="223"/>
    </row>
    <row r="120" spans="8:8" ht="15.75" customHeight="1">
      <c r="A120" s="223"/>
      <c r="B120" s="223"/>
      <c r="C120" s="249"/>
      <c r="D120" s="247"/>
      <c r="E120" s="248"/>
      <c r="F120" s="248"/>
      <c r="G120" s="153"/>
      <c r="H120" s="153"/>
      <c r="I120" s="15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174"/>
      <c r="Z120" s="174"/>
      <c r="AA120" s="174"/>
      <c r="AB120" s="174"/>
      <c r="AC120" s="174"/>
      <c r="AD120" s="174"/>
      <c r="AE120" s="174"/>
      <c r="AF120" s="174"/>
      <c r="AG120" s="174"/>
      <c r="AH120" s="174"/>
      <c r="AI120" s="174"/>
      <c r="AJ120" s="12"/>
      <c r="AK120" s="223"/>
      <c r="AL120" s="223"/>
      <c r="AM120" s="223"/>
      <c r="AN120" s="223"/>
      <c r="AO120" s="223"/>
    </row>
    <row r="121" spans="8:8" ht="15.75" customHeight="1">
      <c r="A121" s="223"/>
      <c r="B121" s="223"/>
      <c r="C121" s="249"/>
      <c r="D121" s="247"/>
      <c r="E121" s="248"/>
      <c r="F121" s="248"/>
      <c r="G121" s="153"/>
      <c r="H121" s="153"/>
      <c r="I121" s="15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174"/>
      <c r="Z121" s="174"/>
      <c r="AA121" s="174"/>
      <c r="AB121" s="174"/>
      <c r="AC121" s="174"/>
      <c r="AD121" s="174"/>
      <c r="AE121" s="174"/>
      <c r="AF121" s="174"/>
      <c r="AG121" s="174"/>
      <c r="AH121" s="174"/>
      <c r="AI121" s="174"/>
      <c r="AJ121" s="12"/>
      <c r="AK121" s="223"/>
      <c r="AL121" s="223"/>
      <c r="AM121" s="223"/>
      <c r="AN121" s="223"/>
      <c r="AO121" s="223"/>
    </row>
    <row r="122" spans="8:8" ht="15.75" customHeight="1">
      <c r="A122" s="223"/>
      <c r="B122" s="223"/>
      <c r="C122" s="249"/>
      <c r="D122" s="247"/>
      <c r="E122" s="248"/>
      <c r="F122" s="248"/>
      <c r="G122" s="153"/>
      <c r="H122" s="153"/>
      <c r="I122" s="15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174"/>
      <c r="Z122" s="174"/>
      <c r="AA122" s="174"/>
      <c r="AB122" s="174"/>
      <c r="AC122" s="174"/>
      <c r="AD122" s="174"/>
      <c r="AE122" s="174"/>
      <c r="AF122" s="174"/>
      <c r="AG122" s="174"/>
      <c r="AH122" s="174"/>
      <c r="AI122" s="174"/>
      <c r="AJ122" s="12"/>
      <c r="AK122" s="223"/>
      <c r="AL122" s="223"/>
      <c r="AM122" s="223"/>
      <c r="AN122" s="223"/>
      <c r="AO122" s="223"/>
    </row>
    <row r="123" spans="8:8" ht="15.75" customHeight="1">
      <c r="A123" s="223"/>
      <c r="B123" s="223"/>
      <c r="C123" s="249"/>
      <c r="D123" s="247"/>
      <c r="E123" s="248"/>
      <c r="F123" s="248"/>
      <c r="G123" s="153"/>
      <c r="H123" s="153"/>
      <c r="I123" s="15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174"/>
      <c r="Z123" s="174"/>
      <c r="AA123" s="174"/>
      <c r="AB123" s="174"/>
      <c r="AC123" s="174"/>
      <c r="AD123" s="174"/>
      <c r="AE123" s="174"/>
      <c r="AF123" s="174"/>
      <c r="AG123" s="174"/>
      <c r="AH123" s="174"/>
      <c r="AI123" s="174"/>
      <c r="AJ123" s="12"/>
      <c r="AK123" s="223"/>
      <c r="AL123" s="223"/>
      <c r="AM123" s="223"/>
      <c r="AN123" s="223"/>
      <c r="AO123" s="223"/>
    </row>
    <row r="124" spans="8:8" ht="15.75" customHeight="1">
      <c r="A124" s="223"/>
      <c r="B124" s="223"/>
      <c r="C124" s="249"/>
      <c r="D124" s="247"/>
      <c r="E124" s="248"/>
      <c r="F124" s="248"/>
      <c r="G124" s="153"/>
      <c r="H124" s="153"/>
      <c r="I124" s="15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174"/>
      <c r="Z124" s="174"/>
      <c r="AA124" s="174"/>
      <c r="AB124" s="174"/>
      <c r="AC124" s="174"/>
      <c r="AD124" s="174"/>
      <c r="AE124" s="174"/>
      <c r="AF124" s="174"/>
      <c r="AG124" s="174"/>
      <c r="AH124" s="174"/>
      <c r="AI124" s="174"/>
      <c r="AJ124" s="12"/>
      <c r="AK124" s="223"/>
      <c r="AL124" s="223"/>
      <c r="AM124" s="223"/>
      <c r="AN124" s="223"/>
      <c r="AO124" s="223"/>
    </row>
    <row r="125" spans="8:8" ht="15.75" customHeight="1">
      <c r="A125" s="223"/>
      <c r="B125" s="223"/>
      <c r="C125" s="249" t="s">
        <v>459</v>
      </c>
      <c r="D125" s="247"/>
      <c r="E125" s="248"/>
      <c r="F125" s="248"/>
      <c r="G125" s="153"/>
      <c r="H125" s="153"/>
      <c r="I125" s="15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174"/>
      <c r="Z125" s="174"/>
      <c r="AA125" s="174"/>
      <c r="AB125" s="174"/>
      <c r="AC125" s="174"/>
      <c r="AD125" s="174"/>
      <c r="AE125" s="174"/>
      <c r="AF125" s="174"/>
      <c r="AG125" s="174"/>
      <c r="AH125" s="174"/>
      <c r="AI125" s="174"/>
      <c r="AJ125" s="12"/>
      <c r="AK125" s="223"/>
      <c r="AL125" s="223"/>
      <c r="AM125" s="223"/>
      <c r="AN125" s="223"/>
      <c r="AO125" s="223"/>
    </row>
    <row r="126" spans="8:8" ht="15.75" customHeight="1">
      <c r="A126" s="5"/>
      <c r="B126" s="5"/>
      <c r="C126" s="249" t="s">
        <v>460</v>
      </c>
      <c r="D126" s="247"/>
      <c r="E126" s="250"/>
      <c r="F126" s="250"/>
      <c r="G126" s="153"/>
      <c r="H126" s="153"/>
      <c r="I126" s="153"/>
      <c r="J126" s="3"/>
      <c r="K126" s="3"/>
      <c r="L126" s="3"/>
      <c r="M126" s="3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174"/>
      <c r="Z126" s="174"/>
      <c r="AA126" s="174"/>
      <c r="AB126" s="174"/>
      <c r="AC126" s="174"/>
      <c r="AD126" s="174"/>
      <c r="AE126" s="174"/>
      <c r="AF126" s="174"/>
      <c r="AG126" s="174"/>
      <c r="AH126" s="174"/>
      <c r="AI126" s="174"/>
      <c r="AJ126" s="12"/>
      <c r="AK126" s="5"/>
      <c r="AL126" s="5"/>
      <c r="AM126" s="5"/>
      <c r="AN126" s="5"/>
      <c r="AO126" s="5"/>
    </row>
    <row r="127" spans="8:8" ht="15.75" customHeight="1">
      <c r="A127" s="3"/>
      <c r="B127" s="3"/>
      <c r="C127" s="249" t="s">
        <v>461</v>
      </c>
      <c r="D127" s="247"/>
      <c r="E127" s="250"/>
      <c r="F127" s="250"/>
      <c r="G127" s="4"/>
      <c r="H127" s="4"/>
      <c r="I127" s="4"/>
      <c r="J127" s="3"/>
      <c r="K127" s="3"/>
      <c r="L127" s="3"/>
      <c r="M127" s="3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174"/>
      <c r="Z127" s="174"/>
      <c r="AA127" s="174"/>
      <c r="AB127" s="174"/>
      <c r="AC127" s="174"/>
      <c r="AD127" s="174"/>
      <c r="AE127" s="174"/>
      <c r="AF127" s="174"/>
      <c r="AG127" s="174"/>
      <c r="AH127" s="174"/>
      <c r="AI127" s="174"/>
      <c r="AJ127" s="12"/>
      <c r="AK127" s="3"/>
      <c r="AL127" s="3"/>
      <c r="AM127" s="3"/>
      <c r="AN127" s="3"/>
      <c r="AO127" s="3"/>
    </row>
    <row r="128" spans="8:8" ht="15.75" customHeight="1">
      <c r="A128" s="3"/>
      <c r="B128" s="3"/>
      <c r="C128" s="249" t="s">
        <v>462</v>
      </c>
      <c r="D128" s="247"/>
      <c r="E128" s="250"/>
      <c r="F128" s="250"/>
      <c r="G128" s="4"/>
      <c r="H128" s="4"/>
      <c r="I128" s="4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174"/>
      <c r="Z128" s="174"/>
      <c r="AA128" s="174"/>
      <c r="AB128" s="174"/>
      <c r="AC128" s="174"/>
      <c r="AD128" s="174"/>
      <c r="AE128" s="174"/>
      <c r="AF128" s="174"/>
      <c r="AG128" s="174"/>
      <c r="AH128" s="174"/>
      <c r="AI128" s="174"/>
      <c r="AJ128" s="12"/>
      <c r="AK128" s="3"/>
      <c r="AL128" s="3"/>
      <c r="AM128" s="3"/>
      <c r="AN128" s="3"/>
      <c r="AO128" s="3"/>
    </row>
    <row r="129" spans="8:8" ht="15.75" customHeight="1">
      <c r="A129" s="3"/>
      <c r="B129" s="3"/>
      <c r="C129" s="3"/>
      <c r="D129" s="247"/>
      <c r="E129" s="250"/>
      <c r="F129" s="250"/>
      <c r="G129" s="4"/>
      <c r="H129" s="4"/>
      <c r="I129" s="4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174"/>
      <c r="Z129" s="174"/>
      <c r="AA129" s="174"/>
      <c r="AB129" s="174"/>
      <c r="AC129" s="174"/>
      <c r="AD129" s="174"/>
      <c r="AE129" s="174"/>
      <c r="AF129" s="174"/>
      <c r="AG129" s="174"/>
      <c r="AH129" s="174"/>
      <c r="AI129" s="174"/>
      <c r="AJ129" s="12"/>
      <c r="AK129" s="3"/>
      <c r="AL129" s="3"/>
      <c r="AM129" s="3"/>
      <c r="AN129" s="3"/>
      <c r="AO129" s="3"/>
    </row>
    <row r="130" spans="8:8" ht="15.75" customHeight="1">
      <c r="A130" s="3"/>
      <c r="B130" s="3"/>
      <c r="C130" s="249" t="s">
        <v>463</v>
      </c>
      <c r="D130" s="247"/>
      <c r="E130" s="250"/>
      <c r="F130" s="250"/>
      <c r="G130" s="4"/>
      <c r="H130" s="4"/>
      <c r="I130" s="4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174"/>
      <c r="Z130" s="174"/>
      <c r="AA130" s="174"/>
      <c r="AB130" s="174"/>
      <c r="AC130" s="174"/>
      <c r="AD130" s="174"/>
      <c r="AE130" s="174"/>
      <c r="AF130" s="174"/>
      <c r="AG130" s="174"/>
      <c r="AH130" s="174"/>
      <c r="AI130" s="174"/>
      <c r="AJ130" s="12"/>
      <c r="AK130" s="3"/>
      <c r="AL130" s="3"/>
      <c r="AM130" s="3"/>
      <c r="AN130" s="3"/>
      <c r="AO130" s="3"/>
    </row>
    <row r="131" spans="8:8" ht="15.75" customHeight="1">
      <c r="A131" s="3"/>
      <c r="B131" s="3"/>
      <c r="C131" s="249" t="s">
        <v>464</v>
      </c>
      <c r="D131" s="247"/>
      <c r="E131" s="250"/>
      <c r="F131" s="250"/>
      <c r="G131" s="4"/>
      <c r="H131" s="4"/>
      <c r="I131" s="4"/>
      <c r="J131" s="146"/>
      <c r="K131" s="146"/>
      <c r="L131" s="146"/>
      <c r="M131" s="146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174"/>
      <c r="Z131" s="174"/>
      <c r="AA131" s="174"/>
      <c r="AB131" s="174"/>
      <c r="AC131" s="174"/>
      <c r="AD131" s="174"/>
      <c r="AE131" s="174"/>
      <c r="AF131" s="174"/>
      <c r="AG131" s="174"/>
      <c r="AH131" s="174"/>
      <c r="AI131" s="174"/>
      <c r="AJ131" s="12"/>
      <c r="AK131" s="3"/>
      <c r="AL131" s="3"/>
      <c r="AM131" s="3"/>
      <c r="AN131" s="3"/>
      <c r="AO131" s="3"/>
    </row>
    <row r="132" spans="8:8" ht="15.75" customHeight="1">
      <c r="A132" s="3"/>
      <c r="B132" s="3"/>
      <c r="C132" s="249" t="s">
        <v>465</v>
      </c>
      <c r="D132" s="247"/>
      <c r="E132" s="250"/>
      <c r="F132" s="250"/>
      <c r="G132" s="4"/>
      <c r="H132" s="4"/>
      <c r="I132" s="4"/>
      <c r="J132" s="3"/>
      <c r="K132" s="3"/>
      <c r="L132" s="3"/>
      <c r="M132" s="3"/>
      <c r="N132" s="146"/>
      <c r="O132" s="146"/>
      <c r="P132" s="146"/>
      <c r="Q132" s="146"/>
      <c r="R132" s="146"/>
      <c r="S132" s="146"/>
      <c r="T132" s="146"/>
      <c r="U132" s="146"/>
      <c r="V132" s="146"/>
      <c r="W132" s="146"/>
      <c r="X132" s="146"/>
      <c r="Y132" s="174"/>
      <c r="Z132" s="174"/>
      <c r="AA132" s="174"/>
      <c r="AB132" s="174"/>
      <c r="AC132" s="174"/>
      <c r="AD132" s="174"/>
      <c r="AE132" s="174"/>
      <c r="AF132" s="174"/>
      <c r="AG132" s="174"/>
      <c r="AH132" s="174"/>
      <c r="AI132" s="174"/>
      <c r="AJ132" s="12"/>
      <c r="AK132" s="3"/>
      <c r="AL132" s="3"/>
      <c r="AM132" s="3"/>
      <c r="AN132" s="3"/>
      <c r="AO132" s="3"/>
    </row>
    <row r="133" spans="8:8" ht="15.75" customHeight="1">
      <c r="A133" s="3"/>
      <c r="B133" s="3"/>
      <c r="C133" s="6" t="s">
        <v>1246</v>
      </c>
      <c r="D133" s="4"/>
      <c r="E133" s="4"/>
      <c r="F133" s="4"/>
      <c r="G133" s="4"/>
      <c r="H133" s="4"/>
      <c r="I133" s="4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174"/>
      <c r="Z133" s="174"/>
      <c r="AA133" s="174"/>
      <c r="AB133" s="174"/>
      <c r="AC133" s="174"/>
      <c r="AD133" s="174"/>
      <c r="AE133" s="174"/>
      <c r="AF133" s="174"/>
      <c r="AG133" s="174"/>
      <c r="AH133" s="174"/>
      <c r="AI133" s="174"/>
      <c r="AJ133" s="12"/>
      <c r="AK133" s="3"/>
      <c r="AL133" s="3"/>
      <c r="AM133" s="3"/>
      <c r="AN133" s="3"/>
      <c r="AO133" s="3"/>
    </row>
    <row r="134" spans="8:8" ht="15.75" customHeight="1">
      <c r="A134" s="3"/>
      <c r="B134" s="3"/>
      <c r="C134" s="3"/>
      <c r="D134" s="4"/>
      <c r="E134" s="4"/>
      <c r="F134" s="4"/>
      <c r="G134" s="4"/>
      <c r="H134" s="4"/>
      <c r="I134" s="4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174"/>
      <c r="Z134" s="174"/>
      <c r="AA134" s="174"/>
      <c r="AB134" s="174"/>
      <c r="AC134" s="174"/>
      <c r="AD134" s="174"/>
      <c r="AE134" s="174"/>
      <c r="AF134" s="174"/>
      <c r="AG134" s="174"/>
      <c r="AH134" s="174"/>
      <c r="AI134" s="174"/>
      <c r="AJ134" s="12"/>
      <c r="AK134" s="3"/>
      <c r="AL134" s="3"/>
      <c r="AM134" s="3"/>
      <c r="AN134" s="3"/>
      <c r="AO134" s="3"/>
    </row>
    <row r="135" spans="8:8" ht="15.75" customHeight="1">
      <c r="A135" s="3"/>
      <c r="B135" s="3"/>
      <c r="C135" s="249" t="s">
        <v>466</v>
      </c>
      <c r="D135" s="4"/>
      <c r="E135" s="4"/>
      <c r="F135" s="4"/>
      <c r="G135" s="4"/>
      <c r="H135" s="4"/>
      <c r="I135" s="4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174"/>
      <c r="Z135" s="174"/>
      <c r="AA135" s="174"/>
      <c r="AB135" s="174"/>
      <c r="AC135" s="174"/>
      <c r="AD135" s="174"/>
      <c r="AE135" s="174"/>
      <c r="AF135" s="174"/>
      <c r="AG135" s="174"/>
      <c r="AH135" s="174"/>
      <c r="AI135" s="174"/>
      <c r="AJ135" s="12"/>
      <c r="AK135" s="3"/>
      <c r="AL135" s="3"/>
      <c r="AM135" s="3"/>
      <c r="AN135" s="3"/>
      <c r="AO135" s="3"/>
    </row>
    <row r="136" spans="8:8" ht="15.75" customHeight="1">
      <c r="A136" s="3"/>
      <c r="B136" s="3"/>
      <c r="C136" s="3"/>
      <c r="D136" s="4"/>
      <c r="E136" s="4"/>
      <c r="F136" s="4"/>
      <c r="G136" s="4"/>
      <c r="H136" s="4"/>
      <c r="I136" s="4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174"/>
      <c r="Z136" s="174"/>
      <c r="AA136" s="174"/>
      <c r="AB136" s="174"/>
      <c r="AC136" s="174"/>
      <c r="AD136" s="174"/>
      <c r="AE136" s="174"/>
      <c r="AF136" s="174"/>
      <c r="AG136" s="174"/>
      <c r="AH136" s="174"/>
      <c r="AI136" s="174"/>
      <c r="AJ136" s="12"/>
      <c r="AK136" s="3"/>
      <c r="AL136" s="3"/>
      <c r="AM136" s="3"/>
      <c r="AN136" s="3"/>
      <c r="AO136" s="3"/>
    </row>
    <row r="137" spans="8:8" ht="15.75" customHeight="1">
      <c r="A137" s="3"/>
      <c r="B137" s="3"/>
      <c r="C137" s="249" t="s">
        <v>467</v>
      </c>
      <c r="D137" s="4"/>
      <c r="E137" s="4"/>
      <c r="F137" s="4"/>
      <c r="G137" s="4"/>
      <c r="H137" s="4"/>
      <c r="I137" s="4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174"/>
      <c r="Z137" s="174"/>
      <c r="AA137" s="174"/>
      <c r="AB137" s="174"/>
      <c r="AC137" s="174"/>
      <c r="AD137" s="174"/>
      <c r="AE137" s="174"/>
      <c r="AF137" s="174"/>
      <c r="AG137" s="174"/>
      <c r="AH137" s="174"/>
      <c r="AI137" s="174"/>
      <c r="AJ137" s="12"/>
      <c r="AK137" s="3"/>
      <c r="AL137" s="3"/>
      <c r="AM137" s="3"/>
      <c r="AN137" s="3"/>
      <c r="AO137" s="3"/>
    </row>
    <row r="138" spans="8:8" ht="15.75" customHeight="1">
      <c r="A138" s="3"/>
      <c r="B138" s="3"/>
      <c r="C138" s="3"/>
      <c r="D138" s="4"/>
      <c r="E138" s="4"/>
      <c r="F138" s="4"/>
      <c r="G138" s="4"/>
      <c r="H138" s="4"/>
      <c r="I138" s="4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174"/>
      <c r="Z138" s="174"/>
      <c r="AA138" s="174"/>
      <c r="AB138" s="174"/>
      <c r="AC138" s="174"/>
      <c r="AD138" s="174"/>
      <c r="AE138" s="174"/>
      <c r="AF138" s="174"/>
      <c r="AG138" s="174"/>
      <c r="AH138" s="174"/>
      <c r="AI138" s="174"/>
      <c r="AJ138" s="12"/>
      <c r="AK138" s="3"/>
      <c r="AL138" s="3"/>
      <c r="AM138" s="3"/>
      <c r="AN138" s="3"/>
      <c r="AO138" s="3"/>
    </row>
    <row r="139" spans="8:8" ht="15.75" customHeight="1">
      <c r="A139" s="3"/>
      <c r="B139" s="3"/>
      <c r="C139" s="249" t="s">
        <v>468</v>
      </c>
      <c r="D139" s="4"/>
      <c r="E139" s="4"/>
      <c r="F139" s="4"/>
      <c r="G139" s="4"/>
      <c r="H139" s="4"/>
      <c r="I139" s="4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174"/>
      <c r="Z139" s="174"/>
      <c r="AA139" s="174"/>
      <c r="AB139" s="174"/>
      <c r="AC139" s="174"/>
      <c r="AD139" s="174"/>
      <c r="AE139" s="174"/>
      <c r="AF139" s="174"/>
      <c r="AG139" s="174"/>
      <c r="AH139" s="174"/>
      <c r="AI139" s="174"/>
      <c r="AJ139" s="12"/>
      <c r="AK139" s="3"/>
      <c r="AL139" s="3"/>
      <c r="AM139" s="3"/>
      <c r="AN139" s="3"/>
      <c r="AO139" s="3"/>
    </row>
    <row r="140" spans="8:8" ht="15.75" customHeight="1">
      <c r="A140" s="3"/>
      <c r="B140" s="3"/>
      <c r="C140" s="249" t="s">
        <v>1247</v>
      </c>
      <c r="D140" s="4"/>
      <c r="E140" s="4"/>
      <c r="F140" s="4"/>
      <c r="G140" s="4"/>
      <c r="H140" s="4"/>
      <c r="I140" s="4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174"/>
      <c r="Z140" s="174"/>
      <c r="AA140" s="174"/>
      <c r="AB140" s="174"/>
      <c r="AC140" s="174"/>
      <c r="AD140" s="174"/>
      <c r="AE140" s="174"/>
      <c r="AF140" s="174"/>
      <c r="AG140" s="174"/>
      <c r="AH140" s="174"/>
      <c r="AI140" s="174"/>
      <c r="AJ140" s="12"/>
      <c r="AK140" s="3"/>
      <c r="AL140" s="3"/>
      <c r="AM140" s="3"/>
      <c r="AN140" s="3"/>
      <c r="AO140" s="3"/>
    </row>
    <row r="141" spans="8:8" ht="15.75" customHeight="1">
      <c r="A141" s="3"/>
      <c r="B141" s="3"/>
      <c r="C141" s="3"/>
      <c r="D141" s="4"/>
      <c r="E141" s="4"/>
      <c r="F141" s="4"/>
      <c r="G141" s="4"/>
      <c r="H141" s="4"/>
      <c r="I141" s="4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174"/>
      <c r="Z141" s="174"/>
      <c r="AA141" s="174"/>
      <c r="AB141" s="174"/>
      <c r="AC141" s="174"/>
      <c r="AD141" s="174"/>
      <c r="AE141" s="174"/>
      <c r="AF141" s="174"/>
      <c r="AG141" s="174"/>
      <c r="AH141" s="174"/>
      <c r="AI141" s="174"/>
      <c r="AJ141" s="3"/>
      <c r="AK141" s="3"/>
      <c r="AL141" s="3"/>
      <c r="AM141" s="3"/>
      <c r="AN141" s="3"/>
      <c r="AO141" s="3"/>
    </row>
    <row r="142" spans="8:8" ht="15.75" customHeight="1">
      <c r="A142" s="3"/>
      <c r="B142" s="3"/>
      <c r="C142" s="3"/>
      <c r="D142" s="4"/>
      <c r="E142" s="4"/>
      <c r="F142" s="4"/>
      <c r="G142" s="4"/>
      <c r="H142" s="4"/>
      <c r="I142" s="4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174"/>
      <c r="Z142" s="174"/>
      <c r="AA142" s="174"/>
      <c r="AB142" s="174"/>
      <c r="AC142" s="174"/>
      <c r="AD142" s="174"/>
      <c r="AE142" s="174"/>
      <c r="AF142" s="174"/>
      <c r="AG142" s="174"/>
      <c r="AH142" s="174"/>
      <c r="AI142" s="174"/>
      <c r="AJ142" s="3"/>
      <c r="AK142" s="3"/>
      <c r="AL142" s="3"/>
      <c r="AM142" s="3"/>
      <c r="AN142" s="3"/>
      <c r="AO142" s="3"/>
    </row>
    <row r="143" spans="8:8" ht="15.75" customHeight="1">
      <c r="A143" s="3"/>
      <c r="B143" s="3"/>
      <c r="C143" s="3"/>
      <c r="D143" s="4"/>
      <c r="E143" s="4"/>
      <c r="F143" s="4"/>
      <c r="G143" s="4"/>
      <c r="H143" s="4"/>
      <c r="I143" s="4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174"/>
      <c r="Z143" s="174"/>
      <c r="AA143" s="174"/>
      <c r="AB143" s="174"/>
      <c r="AC143" s="174"/>
      <c r="AD143" s="174"/>
      <c r="AE143" s="174"/>
      <c r="AF143" s="174"/>
      <c r="AG143" s="174"/>
      <c r="AH143" s="174"/>
      <c r="AI143" s="174"/>
      <c r="AJ143" s="3"/>
      <c r="AK143" s="3"/>
      <c r="AL143" s="3"/>
      <c r="AM143" s="3"/>
      <c r="AN143" s="3"/>
      <c r="AO143" s="3"/>
    </row>
    <row r="144" spans="8:8" ht="15.75" customHeight="1">
      <c r="A144" s="3"/>
      <c r="B144" s="3"/>
      <c r="C144" s="3"/>
      <c r="D144" s="4"/>
      <c r="E144" s="4"/>
      <c r="F144" s="4"/>
      <c r="G144" s="4"/>
      <c r="H144" s="4"/>
      <c r="I144" s="4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174"/>
      <c r="Z144" s="174"/>
      <c r="AA144" s="174"/>
      <c r="AB144" s="174"/>
      <c r="AC144" s="174"/>
      <c r="AD144" s="174"/>
      <c r="AE144" s="174"/>
      <c r="AF144" s="174"/>
      <c r="AG144" s="174"/>
      <c r="AH144" s="174"/>
      <c r="AI144" s="174"/>
      <c r="AJ144" s="3"/>
      <c r="AK144" s="3"/>
      <c r="AL144" s="3"/>
      <c r="AM144" s="3"/>
      <c r="AN144" s="3"/>
      <c r="AO144" s="3"/>
    </row>
    <row r="145" spans="8:8" ht="15.75" customHeight="1">
      <c r="A145" s="3"/>
      <c r="B145" s="3"/>
      <c r="C145" s="3"/>
      <c r="D145" s="4"/>
      <c r="E145" s="4"/>
      <c r="F145" s="4"/>
      <c r="G145" s="4"/>
      <c r="H145" s="4"/>
      <c r="I145" s="4"/>
      <c r="J145" s="3"/>
      <c r="K145" s="3"/>
      <c r="L145" s="3"/>
      <c r="M145" s="3"/>
      <c r="N145" s="5"/>
      <c r="O145" s="5"/>
      <c r="P145" s="5"/>
      <c r="Q145" s="5"/>
      <c r="R145" s="5"/>
      <c r="S145" s="5"/>
      <c r="T145" s="5"/>
      <c r="U145" s="5"/>
      <c r="V145" s="5"/>
      <c r="W145" s="3"/>
      <c r="X145" s="5"/>
      <c r="Y145" s="174"/>
      <c r="Z145" s="174"/>
      <c r="AA145" s="174"/>
      <c r="AB145" s="174"/>
      <c r="AC145" s="174"/>
      <c r="AD145" s="174"/>
      <c r="AE145" s="174"/>
      <c r="AF145" s="174"/>
      <c r="AG145" s="174"/>
      <c r="AH145" s="174"/>
      <c r="AI145" s="174"/>
      <c r="AJ145" s="3"/>
      <c r="AK145" s="3"/>
      <c r="AL145" s="3"/>
      <c r="AM145" s="3"/>
      <c r="AN145" s="3"/>
      <c r="AO145" s="3"/>
    </row>
    <row r="146" spans="8:8" ht="15.75" customHeight="1">
      <c r="A146" s="3"/>
      <c r="B146" s="3"/>
      <c r="C146" s="3"/>
      <c r="D146" s="4"/>
      <c r="E146" s="4"/>
      <c r="F146" s="4"/>
      <c r="G146" s="4"/>
      <c r="H146" s="4"/>
      <c r="I146" s="4"/>
      <c r="J146" s="3"/>
      <c r="K146" s="3"/>
      <c r="L146" s="3"/>
      <c r="M146" s="3"/>
      <c r="N146" s="5"/>
      <c r="O146" s="5"/>
      <c r="P146" s="5"/>
      <c r="Q146" s="5"/>
      <c r="R146" s="5"/>
      <c r="S146" s="5"/>
      <c r="T146" s="5"/>
      <c r="U146" s="5"/>
      <c r="V146" s="5"/>
      <c r="W146" s="3"/>
      <c r="X146" s="5"/>
      <c r="Y146" s="174"/>
      <c r="Z146" s="174"/>
      <c r="AA146" s="174"/>
      <c r="AB146" s="174"/>
      <c r="AC146" s="174"/>
      <c r="AD146" s="174"/>
      <c r="AE146" s="174"/>
      <c r="AF146" s="174"/>
      <c r="AG146" s="174"/>
      <c r="AH146" s="174"/>
      <c r="AI146" s="174"/>
      <c r="AJ146" s="3"/>
      <c r="AK146" s="3"/>
      <c r="AL146" s="3"/>
      <c r="AM146" s="3"/>
      <c r="AN146" s="3"/>
      <c r="AO146" s="3"/>
    </row>
    <row r="147" spans="8:8" ht="15.75" customHeight="1">
      <c r="A147" s="3"/>
      <c r="B147" s="3"/>
      <c r="C147" s="4"/>
      <c r="D147" s="4"/>
      <c r="E147" s="4"/>
      <c r="F147" s="4"/>
      <c r="G147" s="4"/>
      <c r="H147" s="4"/>
      <c r="I147" s="4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174"/>
      <c r="Z147" s="174"/>
      <c r="AA147" s="174"/>
      <c r="AB147" s="174"/>
      <c r="AC147" s="174"/>
      <c r="AD147" s="174"/>
      <c r="AE147" s="174"/>
      <c r="AF147" s="174"/>
      <c r="AG147" s="174"/>
      <c r="AH147" s="174"/>
      <c r="AI147" s="174"/>
      <c r="AJ147" s="3"/>
      <c r="AK147" s="3"/>
      <c r="AL147" s="3"/>
      <c r="AM147" s="3"/>
      <c r="AN147" s="3"/>
      <c r="AO147" s="3"/>
    </row>
    <row r="148" spans="8:8" ht="15.75" customHeight="1">
      <c r="A148" s="3"/>
      <c r="B148" s="3"/>
      <c r="C148" s="4"/>
      <c r="D148" s="4"/>
      <c r="E148" s="4"/>
      <c r="F148" s="4"/>
      <c r="G148" s="4"/>
      <c r="H148" s="4"/>
      <c r="I148" s="4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174"/>
      <c r="Z148" s="174"/>
      <c r="AA148" s="174"/>
      <c r="AB148" s="174"/>
      <c r="AC148" s="174"/>
      <c r="AD148" s="174"/>
      <c r="AE148" s="174"/>
      <c r="AF148" s="174"/>
      <c r="AG148" s="174"/>
      <c r="AH148" s="174"/>
      <c r="AI148" s="174"/>
      <c r="AJ148" s="3"/>
      <c r="AK148" s="3"/>
      <c r="AL148" s="3"/>
      <c r="AM148" s="3"/>
      <c r="AN148" s="3"/>
      <c r="AO148" s="3"/>
    </row>
    <row r="149" spans="8:8" ht="15.75" customHeight="1">
      <c r="A149" s="3"/>
      <c r="B149" s="3"/>
      <c r="C149" s="3"/>
      <c r="D149" s="4"/>
      <c r="E149" s="4"/>
      <c r="F149" s="4"/>
      <c r="G149" s="4"/>
      <c r="H149" s="4"/>
      <c r="I149" s="4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  <c r="AN149" s="3"/>
      <c r="AO149" s="3"/>
    </row>
    <row r="150" spans="8:8" ht="15.75" customHeight="1">
      <c r="A150" s="3"/>
      <c r="B150" s="3"/>
      <c r="C150" s="3"/>
      <c r="D150" s="4"/>
      <c r="E150" s="4"/>
      <c r="F150" s="4"/>
      <c r="G150" s="4"/>
      <c r="H150" s="4"/>
      <c r="I150" s="4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3"/>
      <c r="AK150" s="3"/>
      <c r="AL150" s="3"/>
      <c r="AM150" s="3"/>
      <c r="AN150" s="3"/>
      <c r="AO150" s="3"/>
    </row>
    <row r="151" spans="8:8" ht="15.75" customHeight="1">
      <c r="A151" s="3"/>
      <c r="B151" s="3"/>
      <c r="C151" s="3"/>
      <c r="D151" s="4"/>
      <c r="E151" s="4"/>
      <c r="F151" s="4"/>
      <c r="G151" s="4"/>
      <c r="H151" s="4"/>
      <c r="I151" s="4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3"/>
      <c r="AK151" s="3"/>
      <c r="AL151" s="3"/>
      <c r="AM151" s="3"/>
      <c r="AN151" s="3"/>
      <c r="AO151" s="3"/>
    </row>
    <row r="152" spans="8:8" ht="15.75" customHeight="1">
      <c r="A152" s="3"/>
      <c r="B152" s="3"/>
      <c r="C152" s="3"/>
      <c r="D152" s="4"/>
      <c r="E152" s="4"/>
      <c r="F152" s="4"/>
      <c r="G152" s="4"/>
      <c r="H152" s="4"/>
      <c r="I152" s="4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3"/>
      <c r="AK152" s="3"/>
      <c r="AL152" s="3"/>
      <c r="AM152" s="3"/>
      <c r="AN152" s="3"/>
      <c r="AO152" s="3"/>
    </row>
    <row r="153" spans="8:8" ht="15.75" customHeight="1">
      <c r="A153" s="3"/>
      <c r="B153" s="3"/>
      <c r="C153" s="3"/>
      <c r="D153" s="4"/>
      <c r="E153" s="4"/>
      <c r="F153" s="4"/>
      <c r="G153" s="4"/>
      <c r="H153" s="4"/>
      <c r="I153" s="4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5"/>
      <c r="AK153" s="3"/>
      <c r="AL153" s="3"/>
      <c r="AM153" s="3"/>
      <c r="AN153" s="3"/>
      <c r="AO153" s="3"/>
    </row>
    <row r="154" spans="8:8" ht="15.75" customHeight="1">
      <c r="W154" s="3"/>
    </row>
    <row r="155" spans="8:8" ht="15.75" customHeight="1">
      <c r="W155" s="3"/>
    </row>
    <row r="156" spans="8:8" ht="15.75" customHeight="1">
      <c r="W156" s="3"/>
    </row>
    <row r="157" spans="8:8" ht="15.75" customHeight="1">
      <c r="W157" s="3"/>
    </row>
    <row r="158" spans="8:8" ht="15.75" customHeight="1">
      <c r="W158" s="3"/>
    </row>
    <row r="159" spans="8:8" ht="15.75" customHeight="1">
      <c r="W159" s="3"/>
    </row>
    <row r="160" spans="8:8" ht="15.75" customHeight="1">
      <c r="W160" s="3"/>
    </row>
    <row r="161" spans="8:8" ht="15.75" customHeight="1">
      <c r="W161" s="3"/>
    </row>
    <row r="162" spans="8:8" ht="15.75" customHeight="1">
      <c r="W162" s="3"/>
    </row>
    <row r="163" spans="8:8" ht="15.75" customHeight="1">
      <c r="W163" s="3"/>
    </row>
    <row r="164" spans="8:8" ht="15.75" customHeight="1"/>
    <row r="165" spans="8:8" ht="15.75" customHeight="1"/>
    <row r="166" spans="8:8" ht="15.75" customHeight="1"/>
    <row r="167" spans="8:8" ht="15.75" customHeight="1"/>
    <row r="168" spans="8:8" ht="15.75" customHeight="1"/>
    <row r="169" spans="8:8" ht="15.75" customHeight="1"/>
    <row r="170" spans="8:8" ht="15.75" customHeight="1"/>
    <row r="171" spans="8:8" ht="15.75" customHeight="1"/>
    <row r="172" spans="8:8" ht="15.75" customHeight="1"/>
    <row r="173" spans="8:8" ht="15.75" customHeight="1"/>
    <row r="174" spans="8:8" ht="15.75" customHeight="1"/>
    <row r="175" spans="8:8" ht="15.75" customHeight="1"/>
    <row r="176" spans="8:8" ht="15.75" customHeight="1"/>
    <row r="177" spans="8:8" ht="15.75" customHeight="1"/>
    <row r="178" spans="8:8" ht="15.75" customHeight="1"/>
    <row r="179" spans="8:8" ht="15.75" customHeight="1"/>
    <row r="180" spans="8:8" ht="15.75" customHeight="1"/>
    <row r="181" spans="8:8" ht="15.75" customHeight="1"/>
    <row r="182" spans="8:8" ht="15.75" customHeight="1"/>
    <row r="183" spans="8:8" ht="15.75" customHeight="1"/>
    <row r="184" spans="8:8" ht="15.75" customHeight="1"/>
    <row r="185" spans="8:8" ht="15.75" customHeight="1"/>
    <row r="186" spans="8:8" ht="15.75" customHeight="1"/>
    <row r="187" spans="8:8" ht="15.75" customHeight="1"/>
    <row r="188" spans="8:8" ht="15.75" customHeight="1"/>
    <row r="189" spans="8:8" ht="15.75" customHeight="1"/>
    <row r="190" spans="8:8" ht="15.75" customHeight="1"/>
    <row r="191" spans="8:8" ht="15.75" customHeight="1"/>
    <row r="192" spans="8:8" ht="15.75" customHeight="1"/>
    <row r="193" spans="8:8" ht="15.75" customHeight="1"/>
    <row r="194" spans="8:8" ht="15.75" customHeight="1"/>
    <row r="195" spans="8:8" ht="15.75" customHeight="1"/>
    <row r="196" spans="8:8" ht="15.75" customHeight="1"/>
    <row r="197" spans="8:8" ht="15.75" customHeight="1"/>
    <row r="198" spans="8:8" ht="15.75" customHeight="1"/>
    <row r="199" spans="8:8" ht="15.75" customHeight="1"/>
    <row r="200" spans="8:8" ht="15.75" customHeight="1"/>
    <row r="201" spans="8:8" ht="15.75" customHeight="1"/>
    <row r="202" spans="8:8" ht="15.75" customHeight="1"/>
    <row r="203" spans="8:8" ht="15.75" customHeight="1"/>
    <row r="204" spans="8:8" ht="15.75" customHeight="1"/>
    <row r="205" spans="8:8" ht="15.75" customHeight="1"/>
    <row r="206" spans="8:8" ht="15.75" customHeight="1"/>
    <row r="207" spans="8:8" ht="15.75" customHeight="1"/>
    <row r="208" spans="8:8" ht="15.75" customHeight="1"/>
    <row r="209" spans="8:8" ht="15.75" customHeight="1"/>
    <row r="210" spans="8:8" ht="15.75" customHeight="1"/>
    <row r="211" spans="8:8" ht="15.75" customHeight="1"/>
    <row r="212" spans="8:8" ht="15.75" customHeight="1"/>
    <row r="213" spans="8:8" ht="15.75" customHeight="1"/>
    <row r="214" spans="8:8" ht="15.75" customHeight="1"/>
    <row r="215" spans="8:8" ht="15.75" customHeight="1"/>
    <row r="216" spans="8:8" ht="15.75" customHeight="1"/>
    <row r="217" spans="8:8" ht="15.75" customHeight="1"/>
    <row r="218" spans="8:8" ht="15.75" customHeight="1"/>
    <row r="219" spans="8:8" ht="15.75" customHeight="1"/>
    <row r="220" spans="8:8" ht="15.75" customHeight="1"/>
    <row r="221" spans="8:8" ht="15.75" customHeight="1"/>
    <row r="222" spans="8:8" ht="15.75" customHeight="1"/>
    <row r="223" spans="8:8" ht="15.75" customHeight="1"/>
    <row r="224" spans="8:8" ht="15.75" customHeight="1"/>
    <row r="225" spans="8:8" ht="15.75" customHeight="1"/>
    <row r="226" spans="8:8" ht="15.75" customHeight="1"/>
    <row r="227" spans="8:8" ht="15.75" customHeight="1"/>
    <row r="228" spans="8:8" ht="15.75" customHeight="1"/>
    <row r="229" spans="8:8" ht="15.75" customHeight="1"/>
    <row r="230" spans="8:8" ht="15.75" customHeight="1"/>
    <row r="231" spans="8:8" ht="15.75" customHeight="1"/>
    <row r="232" spans="8:8" ht="15.75" customHeight="1"/>
    <row r="233" spans="8:8" ht="15.75" customHeight="1"/>
    <row r="234" spans="8:8" ht="15.75" customHeight="1"/>
    <row r="235" spans="8:8" ht="15.75" customHeight="1"/>
    <row r="236" spans="8:8" ht="15.75" customHeight="1"/>
    <row r="237" spans="8:8" ht="15.75" customHeight="1"/>
    <row r="238" spans="8:8" ht="15.75" customHeight="1"/>
    <row r="239" spans="8:8" ht="15.75" customHeight="1"/>
    <row r="240" spans="8:8" ht="15.75" customHeight="1"/>
    <row r="241" spans="8:8" ht="15.75" customHeight="1"/>
    <row r="242" spans="8:8" ht="15.75" customHeight="1"/>
    <row r="243" spans="8:8" ht="15.75" customHeight="1"/>
    <row r="244" spans="8:8" ht="15.75" customHeight="1"/>
    <row r="245" spans="8:8" ht="15.75" customHeight="1"/>
    <row r="246" spans="8:8" ht="15.75" customHeight="1"/>
    <row r="247" spans="8:8" ht="15.75" customHeight="1"/>
    <row r="248" spans="8:8" ht="15.75" customHeight="1"/>
    <row r="249" spans="8:8" ht="15.75" customHeight="1"/>
    <row r="250" spans="8:8" ht="15.75" customHeight="1"/>
    <row r="251" spans="8:8" ht="15.75" customHeight="1"/>
    <row r="252" spans="8:8" ht="15.75" customHeight="1"/>
    <row r="253" spans="8:8" ht="15.75" customHeight="1"/>
    <row r="254" spans="8:8" ht="15.75" customHeight="1"/>
    <row r="255" spans="8:8" ht="15.75" customHeight="1"/>
    <row r="256" spans="8:8" ht="15.75" customHeight="1"/>
    <row r="257" spans="8:8" ht="15.75" customHeight="1"/>
    <row r="258" spans="8:8" ht="15.75" customHeight="1"/>
    <row r="259" spans="8:8" ht="15.75" customHeight="1"/>
    <row r="260" spans="8:8" ht="15.75" customHeight="1"/>
    <row r="261" spans="8:8" ht="15.75" customHeight="1"/>
    <row r="262" spans="8:8" ht="15.75" customHeight="1"/>
    <row r="263" spans="8:8" ht="15.75" customHeight="1"/>
    <row r="264" spans="8:8" ht="15.75" customHeight="1"/>
    <row r="265" spans="8:8" ht="15.75" customHeight="1"/>
    <row r="266" spans="8:8" ht="15.75" customHeight="1"/>
    <row r="267" spans="8:8" ht="15.75" customHeight="1"/>
    <row r="268" spans="8:8" ht="15.75" customHeight="1"/>
    <row r="269" spans="8:8" ht="15.75" customHeight="1"/>
    <row r="270" spans="8:8" ht="15.75" customHeight="1"/>
    <row r="271" spans="8:8" ht="15.75" customHeight="1"/>
    <row r="272" spans="8:8" ht="15.75" customHeight="1"/>
    <row r="273" spans="8:8" ht="15.75" customHeight="1"/>
    <row r="274" spans="8:8" ht="15.75" customHeight="1"/>
    <row r="275" spans="8:8" ht="15.75" customHeight="1"/>
    <row r="276" spans="8:8" ht="15.75" customHeight="1"/>
    <row r="277" spans="8:8" ht="15.75" customHeight="1"/>
    <row r="278" spans="8:8" ht="15.75" customHeight="1"/>
    <row r="279" spans="8:8" ht="15.75" customHeight="1"/>
    <row r="280" spans="8:8" ht="15.75" customHeight="1"/>
    <row r="281" spans="8:8" ht="15.75" customHeight="1"/>
    <row r="282" spans="8:8" ht="15.75" customHeight="1"/>
    <row r="283" spans="8:8" ht="15.75" customHeight="1"/>
    <row r="284" spans="8:8" ht="15.75" customHeight="1"/>
    <row r="285" spans="8:8" ht="15.75" customHeight="1"/>
    <row r="286" spans="8:8" ht="15.75" customHeight="1"/>
    <row r="287" spans="8:8" ht="15.75" customHeight="1"/>
    <row r="288" spans="8:8" ht="15.75" customHeight="1"/>
    <row r="289" spans="8:8" ht="15.75" customHeight="1"/>
    <row r="290" spans="8:8" ht="15.75" customHeight="1"/>
    <row r="291" spans="8:8" ht="15.75" customHeight="1"/>
    <row r="292" spans="8:8" ht="15.75" customHeight="1"/>
    <row r="293" spans="8:8" ht="15.75" customHeight="1"/>
    <row r="294" spans="8:8" ht="15.75" customHeight="1"/>
    <row r="295" spans="8:8" ht="15.75" customHeight="1"/>
    <row r="296" spans="8:8" ht="15.75" customHeight="1"/>
    <row r="297" spans="8:8" ht="15.75" customHeight="1"/>
    <row r="298" spans="8:8" ht="15.75" customHeight="1"/>
    <row r="299" spans="8:8" ht="15.75" customHeight="1"/>
    <row r="300" spans="8:8" ht="15.75" customHeight="1"/>
    <row r="301" spans="8:8" ht="15.75" customHeight="1"/>
    <row r="302" spans="8:8" ht="15.75" customHeight="1"/>
    <row r="303" spans="8:8" ht="15.75" customHeight="1"/>
    <row r="304" spans="8:8" ht="15.75" customHeight="1"/>
    <row r="305" spans="8:8" ht="15.75" customHeight="1"/>
    <row r="306" spans="8:8" ht="15.75" customHeight="1"/>
    <row r="307" spans="8:8" ht="15.75" customHeight="1"/>
    <row r="308" spans="8:8" ht="15.75" customHeight="1"/>
    <row r="309" spans="8:8" ht="15.75" customHeight="1"/>
    <row r="310" spans="8:8" ht="15.75" customHeight="1"/>
    <row r="311" spans="8:8" ht="15.75" customHeight="1"/>
    <row r="312" spans="8:8" ht="15.75" customHeight="1"/>
    <row r="313" spans="8:8" ht="15.75" customHeight="1"/>
    <row r="314" spans="8:8" ht="15.75" customHeight="1"/>
    <row r="315" spans="8:8" ht="15.75" customHeight="1"/>
    <row r="316" spans="8:8" ht="15.75" customHeight="1"/>
    <row r="317" spans="8:8" ht="15.75" customHeight="1"/>
    <row r="318" spans="8:8" ht="15.75" customHeight="1"/>
    <row r="319" spans="8:8" ht="15.75" customHeight="1"/>
    <row r="320" spans="8:8" ht="15.75" customHeight="1"/>
    <row r="321" spans="8:8" ht="15.75" customHeight="1"/>
    <row r="322" spans="8:8" ht="15.75" customHeight="1"/>
    <row r="323" spans="8:8" ht="15.75" customHeight="1"/>
    <row r="324" spans="8:8" ht="15.75" customHeight="1"/>
    <row r="325" spans="8:8" ht="15.75" customHeight="1"/>
    <row r="326" spans="8:8" ht="15.75" customHeight="1"/>
    <row r="327" spans="8:8" ht="15.75" customHeight="1"/>
    <row r="328" spans="8:8" ht="15.75" customHeight="1"/>
    <row r="329" spans="8:8" ht="15.75" customHeight="1"/>
    <row r="330" spans="8:8" ht="15.75" customHeight="1"/>
    <row r="331" spans="8:8" ht="15.75" customHeight="1"/>
    <row r="332" spans="8:8" ht="15.75" customHeight="1"/>
    <row r="333" spans="8:8" ht="15.75" customHeight="1"/>
    <row r="334" spans="8:8" ht="15.75" customHeight="1"/>
    <row r="335" spans="8:8" ht="15.75" customHeight="1"/>
    <row r="336" spans="8:8" ht="15.75" customHeight="1"/>
    <row r="337" spans="8:8" ht="15.75" customHeight="1"/>
    <row r="338" spans="8:8" ht="15.75" customHeight="1"/>
    <row r="339" spans="8:8" ht="15.75" customHeight="1"/>
    <row r="340" spans="8:8" ht="15.75" customHeight="1"/>
    <row r="341" spans="8:8" ht="15.75" customHeight="1"/>
    <row r="342" spans="8:8" ht="15.75" customHeight="1"/>
    <row r="343" spans="8:8" ht="15.75" customHeight="1"/>
    <row r="344" spans="8:8" ht="15.75" customHeight="1"/>
    <row r="345" spans="8:8" ht="15.75" customHeight="1"/>
    <row r="346" spans="8:8" ht="15.75" customHeight="1"/>
    <row r="347" spans="8:8" ht="15.75" customHeight="1"/>
    <row r="348" spans="8:8" ht="15.75" customHeight="1"/>
    <row r="349" spans="8:8" ht="15.75" customHeight="1"/>
    <row r="350" spans="8:8" ht="15.75" customHeight="1"/>
    <row r="351" spans="8:8" ht="15.75" customHeight="1"/>
    <row r="352" spans="8:8" ht="15.75" customHeight="1"/>
    <row r="353" spans="8:8" ht="15.75" customHeight="1"/>
    <row r="354" spans="8:8" ht="15.75" customHeight="1"/>
    <row r="355" spans="8:8" ht="15.75" customHeight="1"/>
    <row r="356" spans="8:8" ht="15.75" customHeight="1"/>
    <row r="357" spans="8:8" ht="15.75" customHeight="1"/>
    <row r="358" spans="8:8" ht="15.75" customHeight="1"/>
    <row r="359" spans="8:8" ht="15.75" customHeight="1"/>
    <row r="360" spans="8:8" ht="15.75" customHeight="1"/>
    <row r="361" spans="8:8" ht="15.75" customHeight="1"/>
    <row r="362" spans="8:8" ht="15.75" customHeight="1"/>
    <row r="363" spans="8:8" ht="15.75" customHeight="1"/>
    <row r="364" spans="8:8" ht="15.75" customHeight="1"/>
    <row r="365" spans="8:8" ht="15.75" customHeight="1"/>
    <row r="366" spans="8:8" ht="15.75" customHeight="1"/>
    <row r="367" spans="8:8" ht="15.75" customHeight="1"/>
    <row r="368" spans="8:8" ht="15.75" customHeight="1"/>
    <row r="369" spans="8:8" ht="15.75" customHeight="1"/>
    <row r="370" spans="8:8" ht="15.75" customHeight="1"/>
    <row r="371" spans="8:8" ht="15.75" customHeight="1"/>
    <row r="372" spans="8:8" ht="15.75" customHeight="1"/>
    <row r="373" spans="8:8" ht="15.75" customHeight="1"/>
    <row r="374" spans="8:8" ht="15.75" customHeight="1"/>
    <row r="375" spans="8:8" ht="15.75" customHeight="1"/>
    <row r="376" spans="8:8" ht="15.75" customHeight="1"/>
    <row r="377" spans="8:8" ht="15.75" customHeight="1"/>
    <row r="378" spans="8:8" ht="15.75" customHeight="1"/>
    <row r="379" spans="8:8" ht="15.75" customHeight="1"/>
    <row r="380" spans="8:8" ht="15.75" customHeight="1"/>
    <row r="381" spans="8:8" ht="15.75" customHeight="1"/>
    <row r="382" spans="8:8" ht="15.75" customHeight="1"/>
    <row r="383" spans="8:8" ht="15.75" customHeight="1"/>
    <row r="384" spans="8:8" ht="15.75" customHeight="1"/>
    <row r="385" spans="8:8" ht="15.75" customHeight="1"/>
    <row r="386" spans="8:8" ht="15.75" customHeight="1"/>
    <row r="387" spans="8:8" ht="15.75" customHeight="1"/>
    <row r="388" spans="8:8" ht="15.75" customHeight="1"/>
    <row r="389" spans="8:8" ht="15.75" customHeight="1"/>
    <row r="390" spans="8:8" ht="15.75" customHeight="1"/>
    <row r="391" spans="8:8" ht="15.75" customHeight="1"/>
    <row r="392" spans="8:8" ht="15.75" customHeight="1"/>
    <row r="393" spans="8:8" ht="15.75" customHeight="1"/>
    <row r="394" spans="8:8" ht="15.75" customHeight="1"/>
    <row r="395" spans="8:8" ht="15.75" customHeight="1"/>
    <row r="396" spans="8:8" ht="15.75" customHeight="1"/>
    <row r="397" spans="8:8" ht="15.75" customHeight="1"/>
    <row r="398" spans="8:8" ht="15.75" customHeight="1"/>
    <row r="399" spans="8:8" ht="15.75" customHeight="1"/>
    <row r="400" spans="8:8" ht="15.75" customHeight="1"/>
    <row r="401" spans="8:8" ht="15.75" customHeight="1"/>
    <row r="402" spans="8:8" ht="15.75" customHeight="1"/>
    <row r="403" spans="8:8" ht="15.75" customHeight="1"/>
    <row r="404" spans="8:8" ht="15.75" customHeight="1"/>
    <row r="405" spans="8:8" ht="15.75" customHeight="1"/>
    <row r="406" spans="8:8" ht="15.75" customHeight="1"/>
    <row r="407" spans="8:8" ht="15.75" customHeight="1"/>
    <row r="408" spans="8:8" ht="15.75" customHeight="1"/>
    <row r="409" spans="8:8" ht="15.75" customHeight="1"/>
    <row r="410" spans="8:8" ht="15.75" customHeight="1"/>
    <row r="411" spans="8:8" ht="15.75" customHeight="1"/>
    <row r="412" spans="8:8" ht="15.75" customHeight="1"/>
    <row r="413" spans="8:8" ht="15.75" customHeight="1"/>
    <row r="414" spans="8:8" ht="15.75" customHeight="1"/>
    <row r="415" spans="8:8" ht="15.75" customHeight="1"/>
    <row r="416" spans="8:8" ht="15.75" customHeight="1"/>
    <row r="417" spans="8:8" ht="15.75" customHeight="1"/>
    <row r="418" spans="8:8" ht="15.75" customHeight="1"/>
    <row r="419" spans="8:8" ht="15.75" customHeight="1"/>
    <row r="420" spans="8:8" ht="15.75" customHeight="1"/>
    <row r="421" spans="8:8" ht="15.75" customHeight="1"/>
    <row r="422" spans="8:8" ht="15.75" customHeight="1"/>
    <row r="423" spans="8:8" ht="15.75" customHeight="1"/>
    <row r="424" spans="8:8" ht="15.75" customHeight="1"/>
    <row r="425" spans="8:8" ht="15.75" customHeight="1"/>
    <row r="426" spans="8:8" ht="15.75" customHeight="1"/>
    <row r="427" spans="8:8" ht="15.75" customHeight="1"/>
    <row r="428" spans="8:8" ht="15.75" customHeight="1"/>
    <row r="429" spans="8:8" ht="15.75" customHeight="1"/>
    <row r="430" spans="8:8" ht="15.75" customHeight="1"/>
    <row r="431" spans="8:8" ht="15.75" customHeight="1"/>
    <row r="432" spans="8:8" ht="15.75" customHeight="1"/>
    <row r="433" spans="8:8" ht="15.75" customHeight="1"/>
    <row r="434" spans="8:8" ht="15.75" customHeight="1"/>
    <row r="435" spans="8:8" ht="15.75" customHeight="1"/>
    <row r="436" spans="8:8" ht="15.75" customHeight="1"/>
    <row r="437" spans="8:8" ht="15.75" customHeight="1"/>
    <row r="438" spans="8:8" ht="15.75" customHeight="1"/>
    <row r="439" spans="8:8" ht="15.75" customHeight="1"/>
    <row r="440" spans="8:8" ht="15.75" customHeight="1"/>
    <row r="441" spans="8:8" ht="15.75" customHeight="1"/>
    <row r="442" spans="8:8" ht="15.75" customHeight="1"/>
    <row r="443" spans="8:8" ht="15.75" customHeight="1"/>
    <row r="444" spans="8:8" ht="15.75" customHeight="1"/>
    <row r="445" spans="8:8" ht="15.75" customHeight="1"/>
    <row r="446" spans="8:8" ht="15.75" customHeight="1"/>
    <row r="447" spans="8:8" ht="15.75" customHeight="1"/>
    <row r="448" spans="8:8" ht="15.75" customHeight="1"/>
    <row r="449" spans="8:8" ht="15.75" customHeight="1"/>
    <row r="450" spans="8:8" ht="15.75" customHeight="1"/>
    <row r="451" spans="8:8" ht="15.75" customHeight="1"/>
    <row r="452" spans="8:8" ht="15.75" customHeight="1"/>
    <row r="453" spans="8:8" ht="15.75" customHeight="1"/>
    <row r="454" spans="8:8" ht="15.75" customHeight="1"/>
    <row r="455" spans="8:8" ht="15.75" customHeight="1"/>
    <row r="456" spans="8:8" ht="15.75" customHeight="1"/>
    <row r="457" spans="8:8" ht="15.75" customHeight="1"/>
    <row r="458" spans="8:8" ht="15.75" customHeight="1"/>
    <row r="459" spans="8:8" ht="15.75" customHeight="1"/>
    <row r="460" spans="8:8" ht="15.75" customHeight="1"/>
    <row r="461" spans="8:8" ht="15.75" customHeight="1"/>
    <row r="462" spans="8:8" ht="15.75" customHeight="1"/>
    <row r="463" spans="8:8" ht="15.75" customHeight="1"/>
    <row r="464" spans="8:8" ht="15.75" customHeight="1"/>
    <row r="465" spans="8:8" ht="15.75" customHeight="1"/>
    <row r="466" spans="8:8" ht="15.75" customHeight="1"/>
    <row r="467" spans="8:8" ht="15.75" customHeight="1"/>
    <row r="468" spans="8:8" ht="15.75" customHeight="1"/>
    <row r="469" spans="8:8" ht="15.75" customHeight="1"/>
    <row r="470" spans="8:8" ht="15.75" customHeight="1"/>
    <row r="471" spans="8:8" ht="15.75" customHeight="1"/>
    <row r="472" spans="8:8" ht="15.75" customHeight="1"/>
    <row r="473" spans="8:8" ht="15.75" customHeight="1"/>
    <row r="474" spans="8:8" ht="15.75" customHeight="1"/>
    <row r="475" spans="8:8" ht="15.75" customHeight="1"/>
    <row r="476" spans="8:8" ht="15.75" customHeight="1"/>
    <row r="477" spans="8:8" ht="15.75" customHeight="1"/>
    <row r="478" spans="8:8" ht="15.75" customHeight="1"/>
    <row r="479" spans="8:8" ht="15.75" customHeight="1"/>
    <row r="480" spans="8:8" ht="15.75" customHeight="1"/>
    <row r="481" spans="8:8" ht="15.75" customHeight="1"/>
    <row r="482" spans="8:8" ht="15.75" customHeight="1"/>
    <row r="483" spans="8:8" ht="15.75" customHeight="1"/>
    <row r="484" spans="8:8" ht="15.75" customHeight="1"/>
    <row r="485" spans="8:8" ht="15.75" customHeight="1"/>
    <row r="486" spans="8:8" ht="15.75" customHeight="1"/>
    <row r="487" spans="8:8" ht="15.75" customHeight="1"/>
    <row r="488" spans="8:8" ht="15.75" customHeight="1"/>
    <row r="489" spans="8:8" ht="15.75" customHeight="1"/>
    <row r="490" spans="8:8" ht="15.75" customHeight="1"/>
    <row r="491" spans="8:8" ht="15.75" customHeight="1"/>
    <row r="492" spans="8:8" ht="15.75" customHeight="1"/>
    <row r="493" spans="8:8" ht="15.75" customHeight="1"/>
    <row r="494" spans="8:8" ht="15.75" customHeight="1"/>
    <row r="495" spans="8:8" ht="15.75" customHeight="1"/>
    <row r="496" spans="8:8" ht="15.75" customHeight="1"/>
    <row r="497" spans="8:8" ht="15.75" customHeight="1"/>
    <row r="498" spans="8:8" ht="15.75" customHeight="1"/>
    <row r="499" spans="8:8" ht="15.75" customHeight="1"/>
    <row r="500" spans="8:8" ht="15.75" customHeight="1"/>
    <row r="501" spans="8:8" ht="15.75" customHeight="1"/>
    <row r="502" spans="8:8" ht="15.75" customHeight="1"/>
    <row r="503" spans="8:8" ht="15.75" customHeight="1"/>
    <row r="504" spans="8:8" ht="15.75" customHeight="1"/>
    <row r="505" spans="8:8" ht="15.75" customHeight="1"/>
    <row r="506" spans="8:8" ht="15.75" customHeight="1"/>
    <row r="507" spans="8:8" ht="15.75" customHeight="1"/>
    <row r="508" spans="8:8" ht="15.75" customHeight="1"/>
    <row r="509" spans="8:8" ht="15.75" customHeight="1"/>
    <row r="510" spans="8:8" ht="15.75" customHeight="1"/>
    <row r="511" spans="8:8" ht="15.75" customHeight="1"/>
    <row r="512" spans="8:8" ht="15.75" customHeight="1"/>
    <row r="513" spans="8:8" ht="15.75" customHeight="1"/>
    <row r="514" spans="8:8" ht="15.75" customHeight="1"/>
    <row r="515" spans="8:8" ht="15.75" customHeight="1"/>
    <row r="516" spans="8:8" ht="15.75" customHeight="1"/>
    <row r="517" spans="8:8" ht="15.75" customHeight="1"/>
    <row r="518" spans="8:8" ht="15.75" customHeight="1"/>
    <row r="519" spans="8:8" ht="15.75" customHeight="1"/>
    <row r="520" spans="8:8" ht="15.75" customHeight="1"/>
    <row r="521" spans="8:8" ht="15.75" customHeight="1"/>
    <row r="522" spans="8:8" ht="15.75" customHeight="1"/>
    <row r="523" spans="8:8" ht="15.75" customHeight="1"/>
    <row r="524" spans="8:8" ht="15.75" customHeight="1"/>
    <row r="525" spans="8:8" ht="15.75" customHeight="1"/>
    <row r="526" spans="8:8" ht="15.75" customHeight="1"/>
    <row r="527" spans="8:8" ht="15.75" customHeight="1"/>
    <row r="528" spans="8:8" ht="15.75" customHeight="1"/>
    <row r="529" spans="8:8" ht="15.75" customHeight="1"/>
    <row r="530" spans="8:8" ht="15.75" customHeight="1"/>
    <row r="531" spans="8:8" ht="15.75" customHeight="1"/>
    <row r="532" spans="8:8" ht="15.75" customHeight="1"/>
    <row r="533" spans="8:8" ht="15.75" customHeight="1"/>
    <row r="534" spans="8:8" ht="15.75" customHeight="1"/>
    <row r="535" spans="8:8" ht="15.75" customHeight="1"/>
    <row r="536" spans="8:8" ht="15.75" customHeight="1"/>
    <row r="537" spans="8:8" ht="15.75" customHeight="1"/>
    <row r="538" spans="8:8" ht="15.75" customHeight="1"/>
    <row r="539" spans="8:8" ht="15.75" customHeight="1"/>
    <row r="540" spans="8:8" ht="15.75" customHeight="1"/>
    <row r="541" spans="8:8" ht="15.75" customHeight="1"/>
    <row r="542" spans="8:8" ht="15.75" customHeight="1"/>
    <row r="543" spans="8:8" ht="15.75" customHeight="1"/>
    <row r="544" spans="8:8" ht="15.75" customHeight="1"/>
    <row r="545" spans="8:8" ht="15.75" customHeight="1"/>
    <row r="546" spans="8:8" ht="15.75" customHeight="1"/>
    <row r="547" spans="8:8" ht="15.75" customHeight="1"/>
    <row r="548" spans="8:8" ht="15.75" customHeight="1"/>
    <row r="549" spans="8:8" ht="15.75" customHeight="1"/>
    <row r="550" spans="8:8" ht="15.75" customHeight="1"/>
    <row r="551" spans="8:8" ht="15.75" customHeight="1"/>
    <row r="552" spans="8:8" ht="15.75" customHeight="1"/>
    <row r="553" spans="8:8" ht="15.75" customHeight="1"/>
    <row r="554" spans="8:8" ht="15.75" customHeight="1"/>
    <row r="555" spans="8:8" ht="15.75" customHeight="1"/>
    <row r="556" spans="8:8" ht="15.75" customHeight="1"/>
    <row r="557" spans="8:8" ht="15.75" customHeight="1"/>
    <row r="558" spans="8:8" ht="15.75" customHeight="1"/>
    <row r="559" spans="8:8" ht="15.75" customHeight="1"/>
    <row r="560" spans="8:8" ht="15.75" customHeight="1"/>
    <row r="561" spans="8:8" ht="15.75" customHeight="1"/>
    <row r="562" spans="8:8" ht="15.75" customHeight="1"/>
    <row r="563" spans="8:8" ht="15.75" customHeight="1"/>
    <row r="564" spans="8:8" ht="15.75" customHeight="1"/>
    <row r="565" spans="8:8" ht="15.75" customHeight="1"/>
    <row r="566" spans="8:8" ht="15.75" customHeight="1"/>
    <row r="567" spans="8:8" ht="15.75" customHeight="1"/>
    <row r="568" spans="8:8" ht="15.75" customHeight="1"/>
    <row r="569" spans="8:8" ht="15.75" customHeight="1"/>
    <row r="570" spans="8:8" ht="15.75" customHeight="1"/>
    <row r="571" spans="8:8" ht="15.75" customHeight="1"/>
    <row r="572" spans="8:8" ht="15.75" customHeight="1"/>
    <row r="573" spans="8:8" ht="15.75" customHeight="1"/>
    <row r="574" spans="8:8" ht="15.75" customHeight="1"/>
    <row r="575" spans="8:8" ht="15.75" customHeight="1"/>
    <row r="576" spans="8:8" ht="15.75" customHeight="1"/>
    <row r="577" spans="8:8" ht="15.75" customHeight="1"/>
    <row r="578" spans="8:8" ht="15.75" customHeight="1"/>
    <row r="579" spans="8:8" ht="15.75" customHeight="1"/>
    <row r="580" spans="8:8" ht="15.75" customHeight="1"/>
    <row r="581" spans="8:8" ht="15.75" customHeight="1"/>
    <row r="582" spans="8:8" ht="15.75" customHeight="1"/>
    <row r="583" spans="8:8" ht="15.75" customHeight="1"/>
    <row r="584" spans="8:8" ht="15.75" customHeight="1"/>
    <row r="585" spans="8:8" ht="15.75" customHeight="1"/>
    <row r="586" spans="8:8" ht="15.75" customHeight="1"/>
    <row r="587" spans="8:8" ht="15.75" customHeight="1"/>
    <row r="588" spans="8:8" ht="15.75" customHeight="1"/>
    <row r="589" spans="8:8" ht="15.75" customHeight="1"/>
    <row r="590" spans="8:8" ht="15.75" customHeight="1"/>
    <row r="591" spans="8:8" ht="15.75" customHeight="1"/>
    <row r="592" spans="8:8" ht="15.75" customHeight="1"/>
    <row r="593" spans="8:8" ht="15.75" customHeight="1"/>
    <row r="594" spans="8:8" ht="15.75" customHeight="1"/>
    <row r="595" spans="8:8" ht="15.75" customHeight="1"/>
    <row r="596" spans="8:8" ht="15.75" customHeight="1"/>
    <row r="597" spans="8:8" ht="15.75" customHeight="1"/>
    <row r="598" spans="8:8" ht="15.75" customHeight="1"/>
    <row r="599" spans="8:8" ht="15.75" customHeight="1"/>
    <row r="600" spans="8:8" ht="15.75" customHeight="1"/>
    <row r="601" spans="8:8" ht="15.75" customHeight="1"/>
    <row r="602" spans="8:8" ht="15.75" customHeight="1"/>
    <row r="603" spans="8:8" ht="15.75" customHeight="1"/>
    <row r="604" spans="8:8" ht="15.75" customHeight="1"/>
    <row r="605" spans="8:8" ht="15.75" customHeight="1"/>
    <row r="606" spans="8:8" ht="15.75" customHeight="1"/>
    <row r="607" spans="8:8" ht="15.75" customHeight="1"/>
    <row r="608" spans="8:8" ht="15.75" customHeight="1"/>
    <row r="609" spans="8:8" ht="15.75" customHeight="1"/>
    <row r="610" spans="8:8" ht="15.75" customHeight="1"/>
    <row r="611" spans="8:8" ht="15.75" customHeight="1"/>
    <row r="612" spans="8:8" ht="15.75" customHeight="1"/>
    <row r="613" spans="8:8" ht="15.75" customHeight="1"/>
    <row r="614" spans="8:8" ht="15.75" customHeight="1"/>
    <row r="615" spans="8:8" ht="15.75" customHeight="1"/>
    <row r="616" spans="8:8" ht="15.75" customHeight="1"/>
    <row r="617" spans="8:8" ht="15.75" customHeight="1"/>
    <row r="618" spans="8:8" ht="15.75" customHeight="1"/>
    <row r="619" spans="8:8" ht="15.75" customHeight="1"/>
    <row r="620" spans="8:8" ht="15.75" customHeight="1"/>
    <row r="621" spans="8:8" ht="15.75" customHeight="1"/>
    <row r="622" spans="8:8" ht="15.75" customHeight="1"/>
    <row r="623" spans="8:8" ht="15.75" customHeight="1"/>
    <row r="624" spans="8:8" ht="15.75" customHeight="1"/>
    <row r="625" spans="8:8" ht="15.75" customHeight="1"/>
    <row r="626" spans="8:8" ht="15.75" customHeight="1"/>
    <row r="627" spans="8:8" ht="15.75" customHeight="1"/>
    <row r="628" spans="8:8" ht="15.75" customHeight="1"/>
    <row r="629" spans="8:8" ht="15.75" customHeight="1"/>
    <row r="630" spans="8:8" ht="15.75" customHeight="1"/>
    <row r="631" spans="8:8" ht="15.75" customHeight="1"/>
    <row r="632" spans="8:8" ht="15.75" customHeight="1"/>
    <row r="633" spans="8:8" ht="15.75" customHeight="1"/>
    <row r="634" spans="8:8" ht="15.75" customHeight="1"/>
    <row r="635" spans="8:8" ht="15.75" customHeight="1"/>
    <row r="636" spans="8:8" ht="15.75" customHeight="1"/>
    <row r="637" spans="8:8" ht="15.75" customHeight="1"/>
    <row r="638" spans="8:8" ht="15.75" customHeight="1"/>
    <row r="639" spans="8:8" ht="15.75" customHeight="1"/>
    <row r="640" spans="8:8" ht="15.75" customHeight="1"/>
    <row r="641" spans="8:8" ht="15.75" customHeight="1"/>
    <row r="642" spans="8:8" ht="15.75" customHeight="1"/>
    <row r="643" spans="8:8" ht="15.75" customHeight="1"/>
    <row r="644" spans="8:8" ht="15.75" customHeight="1"/>
    <row r="645" spans="8:8" ht="15.75" customHeight="1"/>
    <row r="646" spans="8:8" ht="15.75" customHeight="1"/>
    <row r="647" spans="8:8" ht="15.75" customHeight="1"/>
    <row r="648" spans="8:8" ht="15.75" customHeight="1"/>
    <row r="649" spans="8:8" ht="15.75" customHeight="1"/>
    <row r="650" spans="8:8" ht="15.75" customHeight="1"/>
    <row r="651" spans="8:8" ht="15.75" customHeight="1"/>
    <row r="652" spans="8:8" ht="15.75" customHeight="1"/>
    <row r="653" spans="8:8" ht="15.75" customHeight="1"/>
    <row r="654" spans="8:8" ht="15.75" customHeight="1"/>
    <row r="655" spans="8:8" ht="15.75" customHeight="1"/>
    <row r="656" spans="8:8" ht="15.75" customHeight="1"/>
    <row r="657" spans="8:8" ht="15.75" customHeight="1"/>
    <row r="658" spans="8:8" ht="15.75" customHeight="1"/>
    <row r="659" spans="8:8" ht="15.75" customHeight="1"/>
    <row r="660" spans="8:8" ht="15.75" customHeight="1"/>
    <row r="661" spans="8:8" ht="15.75" customHeight="1"/>
    <row r="662" spans="8:8" ht="15.75" customHeight="1"/>
    <row r="663" spans="8:8" ht="15.75" customHeight="1"/>
    <row r="664" spans="8:8" ht="15.75" customHeight="1"/>
    <row r="665" spans="8:8" ht="15.75" customHeight="1"/>
    <row r="666" spans="8:8" ht="15.75" customHeight="1"/>
    <row r="667" spans="8:8" ht="15.75" customHeight="1"/>
    <row r="668" spans="8:8" ht="15.75" customHeight="1"/>
    <row r="669" spans="8:8" ht="15.75" customHeight="1"/>
    <row r="670" spans="8:8" ht="15.75" customHeight="1"/>
    <row r="671" spans="8:8" ht="15.75" customHeight="1"/>
    <row r="672" spans="8:8" ht="15.75" customHeight="1"/>
    <row r="673" spans="8:8" ht="15.75" customHeight="1"/>
    <row r="674" spans="8:8" ht="15.75" customHeight="1"/>
    <row r="675" spans="8:8" ht="15.75" customHeight="1"/>
    <row r="676" spans="8:8" ht="15.75" customHeight="1"/>
    <row r="677" spans="8:8" ht="15.75" customHeight="1"/>
    <row r="678" spans="8:8" ht="15.75" customHeight="1"/>
    <row r="679" spans="8:8" ht="15.75" customHeight="1"/>
    <row r="680" spans="8:8" ht="15.75" customHeight="1"/>
    <row r="681" spans="8:8" ht="15.75" customHeight="1"/>
    <row r="682" spans="8:8" ht="15.75" customHeight="1"/>
    <row r="683" spans="8:8" ht="15.75" customHeight="1"/>
    <row r="684" spans="8:8" ht="15.75" customHeight="1"/>
    <row r="685" spans="8:8" ht="15.75" customHeight="1"/>
    <row r="686" spans="8:8" ht="15.75" customHeight="1"/>
    <row r="687" spans="8:8" ht="15.75" customHeight="1"/>
    <row r="688" spans="8:8" ht="15.75" customHeight="1"/>
    <row r="689" spans="8:8" ht="15.75" customHeight="1"/>
    <row r="690" spans="8:8" ht="15.75" customHeight="1"/>
    <row r="691" spans="8:8" ht="15.75" customHeight="1"/>
    <row r="692" spans="8:8" ht="15.75" customHeight="1"/>
    <row r="693" spans="8:8" ht="15.75" customHeight="1"/>
    <row r="694" spans="8:8" ht="15.75" customHeight="1"/>
    <row r="695" spans="8:8" ht="15.75" customHeight="1"/>
    <row r="696" spans="8:8" ht="15.75" customHeight="1"/>
    <row r="697" spans="8:8" ht="15.75" customHeight="1"/>
    <row r="698" spans="8:8" ht="15.75" customHeight="1"/>
    <row r="699" spans="8:8" ht="15.75" customHeight="1"/>
    <row r="700" spans="8:8" ht="15.75" customHeight="1"/>
    <row r="701" spans="8:8" ht="15.75" customHeight="1"/>
    <row r="702" spans="8:8" ht="15.75" customHeight="1"/>
    <row r="703" spans="8:8" ht="15.75" customHeight="1"/>
    <row r="704" spans="8:8" ht="15.75" customHeight="1"/>
    <row r="705" spans="8:8" ht="15.75" customHeight="1"/>
    <row r="706" spans="8:8" ht="15.75" customHeight="1"/>
    <row r="707" spans="8:8" ht="15.75" customHeight="1"/>
    <row r="708" spans="8:8" ht="15.75" customHeight="1"/>
    <row r="709" spans="8:8" ht="15.75" customHeight="1"/>
    <row r="710" spans="8:8" ht="15.75" customHeight="1"/>
    <row r="711" spans="8:8" ht="15.75" customHeight="1"/>
    <row r="712" spans="8:8" ht="15.75" customHeight="1"/>
    <row r="713" spans="8:8" ht="15.75" customHeight="1"/>
    <row r="714" spans="8:8" ht="15.75" customHeight="1"/>
    <row r="715" spans="8:8" ht="15.75" customHeight="1"/>
    <row r="716" spans="8:8" ht="15.75" customHeight="1"/>
    <row r="717" spans="8:8" ht="15.75" customHeight="1"/>
    <row r="718" spans="8:8" ht="15.75" customHeight="1"/>
    <row r="719" spans="8:8" ht="15.75" customHeight="1"/>
    <row r="720" spans="8:8" ht="15.75" customHeight="1"/>
    <row r="721" spans="8:8" ht="15.75" customHeight="1"/>
    <row r="722" spans="8:8" ht="15.75" customHeight="1"/>
    <row r="723" spans="8:8" ht="15.75" customHeight="1"/>
    <row r="724" spans="8:8" ht="15.75" customHeight="1"/>
    <row r="725" spans="8:8" ht="15.75" customHeight="1"/>
    <row r="726" spans="8:8" ht="15.75" customHeight="1"/>
    <row r="727" spans="8:8" ht="15.75" customHeight="1"/>
    <row r="728" spans="8:8" ht="15.75" customHeight="1"/>
    <row r="729" spans="8:8" ht="15.75" customHeight="1"/>
    <row r="730" spans="8:8" ht="15.75" customHeight="1"/>
    <row r="731" spans="8:8" ht="15.75" customHeight="1"/>
    <row r="732" spans="8:8" ht="15.75" customHeight="1"/>
    <row r="733" spans="8:8" ht="15.75" customHeight="1"/>
    <row r="734" spans="8:8" ht="15.75" customHeight="1"/>
    <row r="735" spans="8:8" ht="15.75" customHeight="1"/>
    <row r="736" spans="8:8" ht="15.75" customHeight="1"/>
    <row r="737" spans="8:8" ht="15.75" customHeight="1"/>
    <row r="738" spans="8:8" ht="15.75" customHeight="1"/>
    <row r="739" spans="8:8" ht="15.75" customHeight="1"/>
    <row r="740" spans="8:8" ht="15.75" customHeight="1"/>
    <row r="741" spans="8:8" ht="15.75" customHeight="1"/>
    <row r="742" spans="8:8" ht="15.75" customHeight="1"/>
    <row r="743" spans="8:8" ht="15.75" customHeight="1"/>
    <row r="744" spans="8:8" ht="15.75" customHeight="1"/>
    <row r="745" spans="8:8" ht="15.75" customHeight="1"/>
    <row r="746" spans="8:8" ht="15.75" customHeight="1"/>
    <row r="747" spans="8:8" ht="15.75" customHeight="1"/>
    <row r="748" spans="8:8" ht="15.75" customHeight="1"/>
    <row r="749" spans="8:8" ht="15.75" customHeight="1"/>
    <row r="750" spans="8:8" ht="15.75" customHeight="1"/>
    <row r="751" spans="8:8" ht="15.75" customHeight="1"/>
    <row r="752" spans="8:8" ht="15.75" customHeight="1"/>
    <row r="753" spans="8:8" ht="15.75" customHeight="1"/>
    <row r="754" spans="8:8" ht="15.75" customHeight="1"/>
    <row r="755" spans="8:8" ht="15.75" customHeight="1"/>
    <row r="756" spans="8:8" ht="15.75" customHeight="1"/>
    <row r="757" spans="8:8" ht="15.75" customHeight="1"/>
    <row r="758" spans="8:8" ht="15.75" customHeight="1"/>
    <row r="759" spans="8:8" ht="15.75" customHeight="1"/>
    <row r="760" spans="8:8" ht="15.75" customHeight="1"/>
    <row r="761" spans="8:8" ht="15.75" customHeight="1"/>
    <row r="762" spans="8:8" ht="15.75" customHeight="1"/>
    <row r="763" spans="8:8" ht="15.75" customHeight="1"/>
    <row r="764" spans="8:8" ht="15.75" customHeight="1"/>
    <row r="765" spans="8:8" ht="15.75" customHeight="1"/>
    <row r="766" spans="8:8" ht="15.75" customHeight="1"/>
    <row r="767" spans="8:8" ht="15.75" customHeight="1"/>
    <row r="768" spans="8:8" ht="15.75" customHeight="1"/>
    <row r="769" spans="8:8" ht="15.75" customHeight="1"/>
    <row r="770" spans="8:8" ht="15.75" customHeight="1"/>
    <row r="771" spans="8:8" ht="15.75" customHeight="1"/>
    <row r="772" spans="8:8" ht="15.75" customHeight="1"/>
    <row r="773" spans="8:8" ht="15.75" customHeight="1"/>
    <row r="774" spans="8:8" ht="15.75" customHeight="1"/>
    <row r="775" spans="8:8" ht="15.75" customHeight="1"/>
    <row r="776" spans="8:8" ht="15.75" customHeight="1"/>
    <row r="777" spans="8:8" ht="15.75" customHeight="1"/>
    <row r="778" spans="8:8" ht="15.75" customHeight="1"/>
    <row r="779" spans="8:8" ht="15.75" customHeight="1"/>
    <row r="780" spans="8:8" ht="15.75" customHeight="1"/>
    <row r="781" spans="8:8" ht="15.75" customHeight="1"/>
    <row r="782" spans="8:8" ht="15.75" customHeight="1"/>
    <row r="783" spans="8:8" ht="15.75" customHeight="1"/>
    <row r="784" spans="8:8" ht="15.75" customHeight="1"/>
    <row r="785" spans="8:8" ht="15.75" customHeight="1"/>
    <row r="786" spans="8:8" ht="15.75" customHeight="1"/>
    <row r="787" spans="8:8" ht="15.75" customHeight="1"/>
    <row r="788" spans="8:8" ht="15.75" customHeight="1"/>
    <row r="789" spans="8:8" ht="15.75" customHeight="1"/>
    <row r="790" spans="8:8" ht="15.75" customHeight="1"/>
    <row r="791" spans="8:8" ht="15.75" customHeight="1"/>
    <row r="792" spans="8:8" ht="15.75" customHeight="1"/>
    <row r="793" spans="8:8" ht="15.75" customHeight="1"/>
    <row r="794" spans="8:8" ht="15.75" customHeight="1"/>
    <row r="795" spans="8:8" ht="15.75" customHeight="1"/>
    <row r="796" spans="8:8" ht="15.75" customHeight="1"/>
    <row r="797" spans="8:8" ht="15.75" customHeight="1"/>
    <row r="798" spans="8:8" ht="15.75" customHeight="1"/>
    <row r="799" spans="8:8" ht="15.75" customHeight="1"/>
    <row r="800" spans="8:8" ht="15.75" customHeight="1"/>
    <row r="801" spans="8:8" ht="15.75" customHeight="1"/>
    <row r="802" spans="8:8" ht="15.75" customHeight="1"/>
    <row r="803" spans="8:8" ht="15.75" customHeight="1"/>
    <row r="804" spans="8:8" ht="15.75" customHeight="1"/>
    <row r="805" spans="8:8" ht="15.75" customHeight="1"/>
    <row r="806" spans="8:8" ht="15.75" customHeight="1"/>
    <row r="807" spans="8:8" ht="15.75" customHeight="1"/>
    <row r="808" spans="8:8" ht="15.75" customHeight="1"/>
    <row r="809" spans="8:8" ht="15.75" customHeight="1"/>
    <row r="810" spans="8:8" ht="15.75" customHeight="1"/>
    <row r="811" spans="8:8" ht="15.75" customHeight="1"/>
    <row r="812" spans="8:8" ht="15.75" customHeight="1"/>
    <row r="813" spans="8:8" ht="15.75" customHeight="1"/>
    <row r="814" spans="8:8" ht="15.75" customHeight="1"/>
    <row r="815" spans="8:8" ht="15.75" customHeight="1"/>
    <row r="816" spans="8:8" ht="15.75" customHeight="1"/>
    <row r="817" spans="8:8" ht="15.75" customHeight="1"/>
    <row r="818" spans="8:8" ht="15.75" customHeight="1"/>
    <row r="819" spans="8:8" ht="15.75" customHeight="1"/>
    <row r="820" spans="8:8" ht="15.75" customHeight="1"/>
    <row r="821" spans="8:8" ht="15.75" customHeight="1"/>
    <row r="822" spans="8:8" ht="15.75" customHeight="1"/>
    <row r="823" spans="8:8" ht="15.75" customHeight="1"/>
    <row r="824" spans="8:8" ht="15.75" customHeight="1"/>
    <row r="825" spans="8:8" ht="15.75" customHeight="1"/>
    <row r="826" spans="8:8" ht="15.75" customHeight="1"/>
    <row r="827" spans="8:8" ht="15.75" customHeight="1"/>
    <row r="828" spans="8:8" ht="15.75" customHeight="1"/>
    <row r="829" spans="8:8" ht="15.75" customHeight="1"/>
    <row r="830" spans="8:8" ht="15.75" customHeight="1"/>
    <row r="831" spans="8:8" ht="15.75" customHeight="1"/>
    <row r="832" spans="8:8" ht="15.75" customHeight="1"/>
    <row r="833" spans="8:8" ht="15.75" customHeight="1"/>
    <row r="834" spans="8:8" ht="15.75" customHeight="1"/>
    <row r="835" spans="8:8" ht="15.75" customHeight="1"/>
    <row r="836" spans="8:8" ht="15.75" customHeight="1"/>
    <row r="837" spans="8:8" ht="15.75" customHeight="1"/>
    <row r="838" spans="8:8" ht="15.75" customHeight="1"/>
    <row r="839" spans="8:8" ht="15.75" customHeight="1"/>
    <row r="840" spans="8:8" ht="15.75" customHeight="1"/>
    <row r="841" spans="8:8" ht="15.75" customHeight="1"/>
    <row r="842" spans="8:8" ht="15.75" customHeight="1"/>
    <row r="843" spans="8:8" ht="15.75" customHeight="1"/>
    <row r="844" spans="8:8" ht="15.75" customHeight="1"/>
    <row r="845" spans="8:8" ht="15.75" customHeight="1"/>
    <row r="846" spans="8:8" ht="15.75" customHeight="1"/>
    <row r="847" spans="8:8" ht="15.75" customHeight="1"/>
    <row r="848" spans="8:8" ht="15.75" customHeight="1"/>
    <row r="849" spans="8:8" ht="15.75" customHeight="1"/>
    <row r="850" spans="8:8" ht="15.75" customHeight="1"/>
    <row r="851" spans="8:8" ht="15.75" customHeight="1"/>
    <row r="852" spans="8:8" ht="15.75" customHeight="1"/>
    <row r="853" spans="8:8" ht="15.75" customHeight="1"/>
    <row r="854" spans="8:8" ht="15.75" customHeight="1"/>
    <row r="855" spans="8:8" ht="15.75" customHeight="1"/>
    <row r="856" spans="8:8" ht="15.75" customHeight="1"/>
    <row r="857" spans="8:8" ht="15.75" customHeight="1"/>
    <row r="858" spans="8:8" ht="15.75" customHeight="1"/>
    <row r="859" spans="8:8" ht="15.75" customHeight="1"/>
    <row r="860" spans="8:8" ht="15.75" customHeight="1"/>
    <row r="861" spans="8:8" ht="15.75" customHeight="1"/>
    <row r="862" spans="8:8" ht="15.75" customHeight="1"/>
    <row r="863" spans="8:8" ht="15.75" customHeight="1"/>
    <row r="864" spans="8:8" ht="15.75" customHeight="1"/>
    <row r="865" spans="8:8" ht="15.75" customHeight="1"/>
    <row r="866" spans="8:8" ht="15.75" customHeight="1"/>
    <row r="867" spans="8:8" ht="15.75" customHeight="1"/>
    <row r="868" spans="8:8" ht="15.75" customHeight="1"/>
    <row r="869" spans="8:8" ht="15.75" customHeight="1"/>
    <row r="870" spans="8:8" ht="15.75" customHeight="1"/>
    <row r="871" spans="8:8" ht="15.75" customHeight="1"/>
    <row r="872" spans="8:8" ht="15.75" customHeight="1"/>
    <row r="873" spans="8:8" ht="15.75" customHeight="1"/>
    <row r="874" spans="8:8" ht="15.75" customHeight="1"/>
    <row r="875" spans="8:8" ht="15.75" customHeight="1"/>
    <row r="876" spans="8:8" ht="15.75" customHeight="1"/>
    <row r="877" spans="8:8" ht="15.75" customHeight="1"/>
    <row r="878" spans="8:8" ht="15.75" customHeight="1"/>
    <row r="879" spans="8:8" ht="15.75" customHeight="1"/>
    <row r="880" spans="8:8" ht="15.75" customHeight="1"/>
    <row r="881" spans="8:8" ht="15.75" customHeight="1"/>
    <row r="882" spans="8:8" ht="15.75" customHeight="1"/>
    <row r="883" spans="8:8" ht="15.75" customHeight="1"/>
    <row r="884" spans="8:8" ht="15.75" customHeight="1"/>
    <row r="885" spans="8:8" ht="15.75" customHeight="1"/>
    <row r="886" spans="8:8" ht="15.75" customHeight="1"/>
    <row r="887" spans="8:8" ht="15.75" customHeight="1"/>
    <row r="888" spans="8:8" ht="15.75" customHeight="1"/>
    <row r="889" spans="8:8" ht="15.75" customHeight="1"/>
    <row r="890" spans="8:8" ht="15.75" customHeight="1"/>
    <row r="891" spans="8:8" ht="15.75" customHeight="1"/>
    <row r="892" spans="8:8" ht="15.75" customHeight="1"/>
    <row r="893" spans="8:8" ht="15.75" customHeight="1"/>
    <row r="894" spans="8:8" ht="15.75" customHeight="1"/>
    <row r="895" spans="8:8" ht="15.75" customHeight="1"/>
    <row r="896" spans="8:8" ht="15.75" customHeight="1"/>
    <row r="897" spans="8:8" ht="15.75" customHeight="1"/>
    <row r="898" spans="8:8" ht="15.75" customHeight="1"/>
    <row r="899" spans="8:8" ht="15.75" customHeight="1"/>
    <row r="900" spans="8:8" ht="15.75" customHeight="1"/>
    <row r="901" spans="8:8" ht="15.75" customHeight="1"/>
    <row r="902" spans="8:8" ht="15.75" customHeight="1"/>
    <row r="903" spans="8:8" ht="15.75" customHeight="1"/>
    <row r="904" spans="8:8" ht="15.75" customHeight="1"/>
    <row r="905" spans="8:8" ht="15.75" customHeight="1"/>
    <row r="906" spans="8:8" ht="15.75" customHeight="1"/>
    <row r="907" spans="8:8" ht="15.75" customHeight="1"/>
    <row r="908" spans="8:8" ht="15.75" customHeight="1"/>
    <row r="909" spans="8:8" ht="15.75" customHeight="1"/>
    <row r="910" spans="8:8" ht="15.75" customHeight="1"/>
    <row r="911" spans="8:8" ht="15.75" customHeight="1"/>
    <row r="912" spans="8:8" ht="15.75" customHeight="1"/>
    <row r="913" spans="8:8" ht="15.75" customHeight="1"/>
    <row r="914" spans="8:8" ht="15.75" customHeight="1"/>
    <row r="915" spans="8:8" ht="15.75" customHeight="1"/>
    <row r="916" spans="8:8" ht="15.75" customHeight="1"/>
    <row r="917" spans="8:8" ht="15.75" customHeight="1"/>
    <row r="918" spans="8:8" ht="15.75" customHeight="1"/>
    <row r="919" spans="8:8" ht="15.75" customHeight="1"/>
    <row r="920" spans="8:8" ht="15.75" customHeight="1"/>
    <row r="921" spans="8:8" ht="15.75" customHeight="1"/>
    <row r="922" spans="8:8" ht="15.75" customHeight="1"/>
    <row r="923" spans="8:8" ht="15.75" customHeight="1"/>
    <row r="924" spans="8:8" ht="15.75" customHeight="1"/>
    <row r="925" spans="8:8" ht="15.75" customHeight="1"/>
    <row r="926" spans="8:8" ht="15.75" customHeight="1"/>
    <row r="927" spans="8:8" ht="15.75" customHeight="1"/>
    <row r="928" spans="8:8" ht="15.75" customHeight="1"/>
    <row r="929" spans="8:8" ht="15.75" customHeight="1"/>
    <row r="930" spans="8:8" ht="15.75" customHeight="1"/>
    <row r="931" spans="8:8" ht="15.75" customHeight="1"/>
    <row r="932" spans="8:8" ht="15.75" customHeight="1"/>
    <row r="933" spans="8:8" ht="15.75" customHeight="1"/>
    <row r="934" spans="8:8" ht="15.75" customHeight="1"/>
    <row r="935" spans="8:8" ht="15.75" customHeight="1"/>
    <row r="936" spans="8:8" ht="15.75" customHeight="1"/>
    <row r="937" spans="8:8" ht="15.75" customHeight="1"/>
    <row r="938" spans="8:8" ht="15.75" customHeight="1"/>
    <row r="939" spans="8:8" ht="15.75" customHeight="1"/>
    <row r="940" spans="8:8" ht="15.75" customHeight="1"/>
    <row r="941" spans="8:8" ht="15.75" customHeight="1"/>
    <row r="942" spans="8:8" ht="15.75" customHeight="1"/>
    <row r="943" spans="8:8" ht="15.75" customHeight="1"/>
    <row r="944" spans="8:8" ht="15.75" customHeight="1"/>
    <row r="945" spans="8:8" ht="15.75" customHeight="1"/>
    <row r="946" spans="8:8" ht="15.75" customHeight="1"/>
    <row r="947" spans="8:8" ht="15.75" customHeight="1"/>
    <row r="948" spans="8:8" ht="15.75" customHeight="1"/>
    <row r="949" spans="8:8" ht="15.75" customHeight="1"/>
    <row r="950" spans="8:8" ht="15.75" customHeight="1"/>
    <row r="951" spans="8:8" ht="15.75" customHeight="1"/>
    <row r="952" spans="8:8" ht="15.75" customHeight="1"/>
    <row r="953" spans="8:8" ht="15.75" customHeight="1"/>
    <row r="954" spans="8:8" ht="15.75" customHeight="1"/>
    <row r="955" spans="8:8" ht="15.75" customHeight="1"/>
    <row r="956" spans="8:8" ht="15.75" customHeight="1"/>
    <row r="957" spans="8:8" ht="15.75" customHeight="1"/>
    <row r="958" spans="8:8" ht="15.75" customHeight="1"/>
    <row r="959" spans="8:8" ht="15.75" customHeight="1"/>
    <row r="960" spans="8:8" ht="15.75" customHeight="1"/>
    <row r="961" spans="8:8" ht="15.75" customHeight="1"/>
    <row r="962" spans="8:8" ht="15.75" customHeight="1"/>
    <row r="963" spans="8:8" ht="15.75" customHeight="1"/>
    <row r="964" spans="8:8" ht="15.75" customHeight="1"/>
    <row r="965" spans="8:8" ht="15.75" customHeight="1"/>
    <row r="966" spans="8:8" ht="15.75" customHeight="1"/>
    <row r="967" spans="8:8" ht="15.75" customHeight="1"/>
    <row r="968" spans="8:8" ht="15.75" customHeight="1"/>
    <row r="969" spans="8:8" ht="15.75" customHeight="1"/>
    <row r="970" spans="8:8" ht="15.75" customHeight="1"/>
    <row r="971" spans="8:8" ht="15.75" customHeight="1"/>
    <row r="972" spans="8:8" ht="15.75" customHeight="1"/>
    <row r="973" spans="8:8" ht="15.75" customHeight="1"/>
    <row r="974" spans="8:8" ht="15.75" customHeight="1"/>
    <row r="975" spans="8:8" ht="15.75" customHeight="1"/>
    <row r="976" spans="8:8" ht="15.75" customHeight="1"/>
    <row r="977" spans="8:8" ht="15.75" customHeight="1"/>
    <row r="978" spans="8:8" ht="15.75" customHeight="1"/>
    <row r="979" spans="8:8" ht="15.75" customHeight="1"/>
    <row r="980" spans="8:8" ht="15.75" customHeight="1"/>
    <row r="981" spans="8:8" ht="15.75" customHeight="1"/>
    <row r="982" spans="8:8" ht="15.75" customHeight="1"/>
    <row r="983" spans="8:8" ht="15.75" customHeight="1"/>
    <row r="984" spans="8:8" ht="15.75" customHeight="1"/>
    <row r="985" spans="8:8" ht="15.75" customHeight="1"/>
    <row r="986" spans="8:8" ht="15.75" customHeight="1"/>
    <row r="987" spans="8:8" ht="15.75" customHeight="1"/>
    <row r="988" spans="8:8" ht="15.75" customHeight="1"/>
    <row r="989" spans="8:8" ht="15.75" customHeight="1"/>
    <row r="990" spans="8:8" ht="15.75" customHeight="1"/>
    <row r="991" spans="8:8" ht="15.75" customHeight="1"/>
    <row r="992" spans="8:8" ht="15.75" customHeight="1"/>
    <row r="993" spans="8:8" ht="15.75" customHeight="1"/>
    <row r="994" spans="8:8" ht="15.75" customHeight="1"/>
    <row r="995" spans="8:8" ht="15.75" customHeight="1"/>
    <row r="996" spans="8:8" ht="15.75" customHeight="1"/>
    <row r="997" spans="8:8" ht="15.75" customHeight="1"/>
    <row r="998" spans="8:8" ht="15.75" customHeight="1"/>
    <row r="999" spans="8:8" ht="15.75" customHeight="1"/>
    <row r="1000" spans="8:8" ht="15.75" customHeight="1"/>
  </sheetData>
  <mergeCells count="4">
    <mergeCell ref="D2:F2"/>
    <mergeCell ref="I2:M2"/>
    <mergeCell ref="W4:AJ4"/>
    <mergeCell ref="X14:AJ14"/>
  </mergeCells>
  <conditionalFormatting sqref="E72:E85 G72:G85 I72:I85 K72:K85 M72:M85 O72:O85 Q72:Q85 S72:S85">
    <cfRule type="colorScale" priority="2">
      <colorScale>
        <cfvo type="min"/>
        <cfvo type="max"/>
        <color rgb="FFE67C73"/>
        <color rgb="FFFFFFFF"/>
      </colorScale>
    </cfRule>
  </conditionalFormatting>
  <conditionalFormatting sqref="E31:E47 G31:I47 K31:M47 O31:Q47 S31:S47">
    <cfRule type="colorScale" priority="1">
      <colorScale>
        <cfvo type="min"/>
        <cfvo type="max"/>
        <color rgb="FFFFFFFF"/>
        <color rgb="FF57BB8A"/>
      </colorScale>
    </cfRule>
  </conditionalFormatting>
  <printOptions horizontalCentered="1"/>
  <pageMargins left="0.15007645528683916" right="0.15398075240594927" top="0.29101698918139385" bottom="0.08954368897889042" header="0.0" footer="0.0"/>
  <pageSetup paperSize="9" fitToHeight="0" pageOrder="overThenDown" orientation="landscape"/>
  <drawing r:id="rId1"/>
</worksheet>
</file>

<file path=docProps/app.xml><?xml version="1.0" encoding="utf-8"?>
<Properties xmlns="http://schemas.openxmlformats.org/officeDocument/2006/extended-properties">
  <Application>Kingsoft Office</Application>
  <ScaleCrop>0</ScaleCrop>
  <LinksUpToDate>0</LinksUpToDate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24117RN76G</dc:creator>
  <dcterms:created xsi:type="dcterms:W3CDTF">2025-09-06T06:41:26Z</dcterms:created>
  <dcterms:modified xsi:type="dcterms:W3CDTF">2025-09-06T06:45:28Z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d94a06ede64f4770a25a0dd914c7db69</vt:lpwstr>
  </property>
</Properties>
</file>